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" sheetId="1" r:id="rId4"/>
    <sheet name="Gruppen" sheetId="2" r:id="rId5"/>
    <sheet name="Ränge1" sheetId="3" r:id="rId6"/>
    <sheet name="Ränge2" sheetId="4" r:id="rId7"/>
    <sheet name="Dritte" sheetId="5" r:id="rId8"/>
    <sheet name="Dritte2" sheetId="6" r:id="rId9"/>
  </sheets>
</workbook>
</file>

<file path=xl/sharedStrings.xml><?xml version="1.0" encoding="utf-8"?>
<sst xmlns="http://schemas.openxmlformats.org/spreadsheetml/2006/main" uniqueCount="264">
  <si>
    <t>Gruppe A - Tabelle</t>
  </si>
  <si>
    <t>Gruppe B - Tabelle</t>
  </si>
  <si>
    <t>G</t>
  </si>
  <si>
    <t>S</t>
  </si>
  <si>
    <t>U</t>
  </si>
  <si>
    <t xml:space="preserve">   N</t>
  </si>
  <si>
    <t>Tore</t>
  </si>
  <si>
    <t>Diff</t>
  </si>
  <si>
    <t>Punkte</t>
  </si>
  <si>
    <t>1.</t>
  </si>
  <si>
    <r>
      <rPr>
        <sz val="11"/>
        <color indexed="8"/>
        <rFont val="Calibri"/>
      </rPr>
      <t>Uruguay</t>
    </r>
  </si>
  <si>
    <r>
      <rPr>
        <sz val="11"/>
        <color indexed="8"/>
        <rFont val="Calibri"/>
      </rPr>
      <t xml:space="preserve">0         </t>
    </r>
  </si>
  <si>
    <t>:</t>
  </si>
  <si>
    <t>Spanien</t>
  </si>
  <si>
    <t>2.</t>
  </si>
  <si>
    <r>
      <rPr>
        <sz val="11"/>
        <color indexed="8"/>
        <rFont val="Calibri"/>
      </rPr>
      <t>Russland</t>
    </r>
  </si>
  <si>
    <t>Portugal</t>
  </si>
  <si>
    <t>3.</t>
  </si>
  <si>
    <r>
      <rPr>
        <sz val="11"/>
        <color indexed="8"/>
        <rFont val="Calibri"/>
      </rPr>
      <t>Ägypten</t>
    </r>
  </si>
  <si>
    <t>Marokko</t>
  </si>
  <si>
    <t>4.</t>
  </si>
  <si>
    <r>
      <rPr>
        <sz val="11"/>
        <color indexed="8"/>
        <rFont val="Calibri"/>
      </rPr>
      <t>Saudi-Arabien</t>
    </r>
  </si>
  <si>
    <t>Iran</t>
  </si>
  <si>
    <t>Gruppe A - Spielplan</t>
  </si>
  <si>
    <t>Gruppe B - Spielplan</t>
  </si>
  <si>
    <t>Spiel</t>
  </si>
  <si>
    <t>Datum</t>
  </si>
  <si>
    <t>Zeit</t>
  </si>
  <si>
    <t>Mannschaften</t>
  </si>
  <si>
    <t>14.Juni</t>
  </si>
  <si>
    <t>Russland</t>
  </si>
  <si>
    <t>Saudi-Arabien</t>
  </si>
  <si>
    <t>15.Juni</t>
  </si>
  <si>
    <t>Ägypten</t>
  </si>
  <si>
    <t>Uruguay</t>
  </si>
  <si>
    <t>19.Juni</t>
  </si>
  <si>
    <t>20.Juni</t>
  </si>
  <si>
    <t>25.Juni</t>
  </si>
  <si>
    <t>Gruppe C - Tabelle</t>
  </si>
  <si>
    <t>Gruppe D - Tabelle</t>
  </si>
  <si>
    <t>Frankreich</t>
  </si>
  <si>
    <t>Argentinien</t>
  </si>
  <si>
    <t>Dänemark</t>
  </si>
  <si>
    <t>Kroatien</t>
  </si>
  <si>
    <t>Peru</t>
  </si>
  <si>
    <t>Nigeria</t>
  </si>
  <si>
    <t>Australien</t>
  </si>
  <si>
    <t>Island</t>
  </si>
  <si>
    <t>Gruppe C - Spielplan</t>
  </si>
  <si>
    <t>Gruppe D - Spielplan</t>
  </si>
  <si>
    <t>16.Juni</t>
  </si>
  <si>
    <t>Argentien</t>
  </si>
  <si>
    <t>21.Juni</t>
  </si>
  <si>
    <t>22.Juni</t>
  </si>
  <si>
    <t>26.Juni</t>
  </si>
  <si>
    <t>Gruppe E - Tabelle</t>
  </si>
  <si>
    <t>Gruppe F - Tabelle</t>
  </si>
  <si>
    <t>Brasilien</t>
  </si>
  <si>
    <t>Deutschland</t>
  </si>
  <si>
    <t>Serbien</t>
  </si>
  <si>
    <t>Schweden</t>
  </si>
  <si>
    <t>Schweiz</t>
  </si>
  <si>
    <t>Südkorea</t>
  </si>
  <si>
    <t>Costa Rica</t>
  </si>
  <si>
    <t>Mexiko</t>
  </si>
  <si>
    <t>Gruppe E - Spielplan</t>
  </si>
  <si>
    <t>Gruppe F - Spielplan</t>
  </si>
  <si>
    <t>17.Juni</t>
  </si>
  <si>
    <t>18.Juni</t>
  </si>
  <si>
    <t>23.Juni</t>
  </si>
  <si>
    <t>27.Juni</t>
  </si>
  <si>
    <t>Gruppe G - Tabelle</t>
  </si>
  <si>
    <t>Gruppe H - Tabelle</t>
  </si>
  <si>
    <t>England</t>
  </si>
  <si>
    <t>Polen</t>
  </si>
  <si>
    <t>Belgien</t>
  </si>
  <si>
    <t>Japan</t>
  </si>
  <si>
    <t>Tunesien</t>
  </si>
  <si>
    <t>Kolumbien</t>
  </si>
  <si>
    <t>Panama</t>
  </si>
  <si>
    <t>Senegal</t>
  </si>
  <si>
    <t>Gruppe G - Spielplan</t>
  </si>
  <si>
    <t>Gruppe H - Spielplan</t>
  </si>
  <si>
    <t>24.Juni</t>
  </si>
  <si>
    <t>28.Juni</t>
  </si>
  <si>
    <t>Achtelfinale</t>
  </si>
  <si>
    <t>Viertelfinale</t>
  </si>
  <si>
    <t>30.Juni</t>
  </si>
  <si>
    <r>
      <rPr>
        <sz val="11"/>
        <color indexed="8"/>
        <rFont val="Calibri"/>
      </rPr>
      <t>Frankreich</t>
    </r>
  </si>
  <si>
    <r>
      <rPr>
        <sz val="11"/>
        <color indexed="8"/>
        <rFont val="Calibri"/>
      </rPr>
      <t>Kroatien</t>
    </r>
  </si>
  <si>
    <t>6.Juli</t>
  </si>
  <si>
    <r>
      <rPr>
        <sz val="11"/>
        <color indexed="8"/>
        <rFont val="Calibri"/>
      </rPr>
      <t>Portugal</t>
    </r>
  </si>
  <si>
    <r>
      <rPr>
        <sz val="11"/>
        <color indexed="8"/>
        <rFont val="Calibri"/>
      </rPr>
      <t>Brasilien</t>
    </r>
  </si>
  <si>
    <r>
      <rPr>
        <sz val="11"/>
        <color indexed="8"/>
        <rFont val="Calibri"/>
      </rPr>
      <t>England</t>
    </r>
  </si>
  <si>
    <t>1.Juli</t>
  </si>
  <si>
    <r>
      <rPr>
        <sz val="11"/>
        <color indexed="8"/>
        <rFont val="Calibri"/>
      </rPr>
      <t>Spanien</t>
    </r>
  </si>
  <si>
    <t>7.Juli</t>
  </si>
  <si>
    <r>
      <rPr>
        <sz val="11"/>
        <color indexed="8"/>
        <rFont val="Calibri"/>
      </rPr>
      <t>Deutschland</t>
    </r>
  </si>
  <si>
    <r>
      <rPr>
        <sz val="11"/>
        <color indexed="8"/>
        <rFont val="Calibri"/>
      </rPr>
      <t>Belgien</t>
    </r>
  </si>
  <si>
    <r>
      <rPr>
        <sz val="11"/>
        <color indexed="8"/>
        <rFont val="Calibri"/>
      </rPr>
      <t>Argentinien</t>
    </r>
  </si>
  <si>
    <r>
      <rPr>
        <sz val="11"/>
        <color indexed="8"/>
        <rFont val="Calibri"/>
      </rPr>
      <t>Dänemark</t>
    </r>
  </si>
  <si>
    <t>2.Juli</t>
  </si>
  <si>
    <r>
      <rPr>
        <sz val="11"/>
        <color indexed="8"/>
        <rFont val="Calibri"/>
      </rPr>
      <t>Schweden</t>
    </r>
  </si>
  <si>
    <r>
      <rPr>
        <sz val="11"/>
        <color indexed="8"/>
        <rFont val="Calibri"/>
      </rPr>
      <t>Japan</t>
    </r>
  </si>
  <si>
    <t>3.Juli</t>
  </si>
  <si>
    <r>
      <rPr>
        <sz val="11"/>
        <color indexed="8"/>
        <rFont val="Calibri"/>
      </rPr>
      <t>Serbien</t>
    </r>
  </si>
  <si>
    <t>Halbfinale</t>
  </si>
  <si>
    <r>
      <rPr>
        <sz val="11"/>
        <color indexed="8"/>
        <rFont val="Calibri"/>
      </rPr>
      <t>Polen</t>
    </r>
  </si>
  <si>
    <t>10.Juli</t>
  </si>
  <si>
    <t>11.Juli</t>
  </si>
  <si>
    <t>Spiel um den Dritten</t>
  </si>
  <si>
    <t>Finale</t>
  </si>
  <si>
    <t>14.Juli</t>
  </si>
  <si>
    <t>15.Juli</t>
  </si>
  <si>
    <t>Weltmeister</t>
  </si>
  <si>
    <r>
      <rPr>
        <b val="1"/>
        <sz val="16"/>
        <color indexed="9"/>
        <rFont val="Calibri"/>
      </rPr>
      <t>Deutschland</t>
    </r>
  </si>
  <si>
    <t>Berechnung der Gruppentabellen</t>
  </si>
  <si>
    <t>Order</t>
  </si>
  <si>
    <t>Gruppe A</t>
  </si>
  <si>
    <t>Rang</t>
  </si>
  <si>
    <t>1'</t>
  </si>
  <si>
    <t>2'</t>
  </si>
  <si>
    <t>3'</t>
  </si>
  <si>
    <t xml:space="preserve">0         </t>
  </si>
  <si>
    <t>Gruppe B</t>
  </si>
  <si>
    <t>Gruppe C</t>
  </si>
  <si>
    <t>Gruppe D</t>
  </si>
  <si>
    <t>Gruppe E</t>
  </si>
  <si>
    <t>Gruppe F</t>
  </si>
  <si>
    <t>Gruppe G</t>
  </si>
  <si>
    <t>Gruppe H</t>
  </si>
  <si>
    <t>Direktspiele (zur Berechnung der Ränge)</t>
  </si>
  <si>
    <t>Flag_Punkte</t>
  </si>
  <si>
    <t>P_dir</t>
  </si>
  <si>
    <t>Flag_Diff</t>
  </si>
  <si>
    <t>Diff_dir</t>
  </si>
  <si>
    <t>Flag_Tore</t>
  </si>
  <si>
    <t>F1</t>
  </si>
  <si>
    <t>F2</t>
  </si>
  <si>
    <t>done</t>
  </si>
  <si>
    <t>Diff_ges</t>
  </si>
  <si>
    <t>Tore gesamt</t>
  </si>
  <si>
    <t>P_dir_ges</t>
  </si>
  <si>
    <t>Diff_dir_ges</t>
  </si>
  <si>
    <t>Tore_dir_ges</t>
  </si>
  <si>
    <t>Kriterien</t>
  </si>
  <si>
    <t>1.höhere Punktzahl - gesamt</t>
  </si>
  <si>
    <t>2. Tordiff gesamt</t>
  </si>
  <si>
    <t>3. Tore gesamt</t>
  </si>
  <si>
    <t>4. höhere Punktzahl - direkt</t>
  </si>
  <si>
    <t>5. Tordiff direkt</t>
  </si>
  <si>
    <t>Tore_ges</t>
  </si>
  <si>
    <t>6.Tore direkt</t>
  </si>
  <si>
    <t>Deutsch</t>
  </si>
  <si>
    <t>Gewinn</t>
  </si>
  <si>
    <t>Gleich</t>
  </si>
  <si>
    <t>Berechnung der Ränge</t>
  </si>
  <si>
    <t>Land</t>
  </si>
  <si>
    <t>Spiel 1</t>
  </si>
  <si>
    <t>Spiel 2</t>
  </si>
  <si>
    <t>Spiel 3</t>
  </si>
  <si>
    <t>1. Kriterium</t>
  </si>
  <si>
    <t>Flag_1</t>
  </si>
  <si>
    <t>Punkte_1</t>
  </si>
  <si>
    <t>Punkte_2</t>
  </si>
  <si>
    <t>Rang(Punkte_1)</t>
  </si>
  <si>
    <t>Rang(Punkte_2)</t>
  </si>
  <si>
    <t>2. Kriterium</t>
  </si>
  <si>
    <t>Flag_2</t>
  </si>
  <si>
    <t>Diff_1</t>
  </si>
  <si>
    <t>Diff_2</t>
  </si>
  <si>
    <t>Rang(Diff_1)</t>
  </si>
  <si>
    <t>Rang(Diff_2)</t>
  </si>
  <si>
    <t>3. Kriterium</t>
  </si>
  <si>
    <t>Flag_3</t>
  </si>
  <si>
    <t>Tore_1</t>
  </si>
  <si>
    <t>Tore_2</t>
  </si>
  <si>
    <t>Rang(Tore_1)</t>
  </si>
  <si>
    <t>Rang(Tore_2)</t>
  </si>
  <si>
    <t>4. Kriterium</t>
  </si>
  <si>
    <t>Flag_4</t>
  </si>
  <si>
    <t>Diff_ges_1</t>
  </si>
  <si>
    <t>Diff_ges_2</t>
  </si>
  <si>
    <t>Rang(Diff_ges)</t>
  </si>
  <si>
    <t>Rang(diff_ges)</t>
  </si>
  <si>
    <t>5. Kriterium</t>
  </si>
  <si>
    <t>Flag_5</t>
  </si>
  <si>
    <t>Tor_ges_1</t>
  </si>
  <si>
    <t>Tor_ges_2</t>
  </si>
  <si>
    <t>Rang(Tor_ges_1)</t>
  </si>
  <si>
    <t>Rang(Tor_ges_2)</t>
  </si>
  <si>
    <t>6.Kriterium</t>
  </si>
  <si>
    <t>Finaler Rang</t>
  </si>
  <si>
    <t>1. Russland</t>
  </si>
  <si>
    <t>2. Saudi-Arabien</t>
  </si>
  <si>
    <t>3. Ägypten</t>
  </si>
  <si>
    <t>4. Uruguay</t>
  </si>
  <si>
    <t>1. Portugal</t>
  </si>
  <si>
    <t>2. Spanien</t>
  </si>
  <si>
    <t>3. Marokko</t>
  </si>
  <si>
    <t>4. Iran</t>
  </si>
  <si>
    <t>1. Frankreich</t>
  </si>
  <si>
    <t>2. Australien</t>
  </si>
  <si>
    <t>3. Peru</t>
  </si>
  <si>
    <t>4. Dänemark</t>
  </si>
  <si>
    <t>1. Argentinien</t>
  </si>
  <si>
    <t>2. Island</t>
  </si>
  <si>
    <t>3. Kroatien</t>
  </si>
  <si>
    <t>4. Nigeria</t>
  </si>
  <si>
    <t>1. Brasilien</t>
  </si>
  <si>
    <t>2. Schweiz</t>
  </si>
  <si>
    <t>3. Costa Rica</t>
  </si>
  <si>
    <t>4. Serbien</t>
  </si>
  <si>
    <t>1. Deutschland</t>
  </si>
  <si>
    <t>2. Mexiko</t>
  </si>
  <si>
    <t>3. Schweden</t>
  </si>
  <si>
    <t>4. Südkorea</t>
  </si>
  <si>
    <t>1. Belgien</t>
  </si>
  <si>
    <t>2. Panama</t>
  </si>
  <si>
    <t>3. Tunesien</t>
  </si>
  <si>
    <t>4. England</t>
  </si>
  <si>
    <t>1. Polen</t>
  </si>
  <si>
    <t>2. Senegal</t>
  </si>
  <si>
    <t>3. Kolumbien</t>
  </si>
  <si>
    <t>4. Japan</t>
  </si>
  <si>
    <t>Tabelle der Dritten</t>
  </si>
  <si>
    <t>Werte:</t>
  </si>
  <si>
    <t>Gruppe</t>
  </si>
  <si>
    <t>1.Kriterium</t>
  </si>
  <si>
    <t>Diff_3</t>
  </si>
  <si>
    <t>Rang(Diff1)</t>
  </si>
  <si>
    <t>Rang(Diff2)</t>
  </si>
  <si>
    <t>Rang(Diff3)</t>
  </si>
  <si>
    <t>2.Kriterium</t>
  </si>
  <si>
    <t>Tore_3</t>
  </si>
  <si>
    <t>Rang(Tore1)</t>
  </si>
  <si>
    <t>Rang(Tore2)</t>
  </si>
  <si>
    <t>Rang(Tore3)</t>
  </si>
  <si>
    <t>A</t>
  </si>
  <si>
    <t>B</t>
  </si>
  <si>
    <t>C</t>
  </si>
  <si>
    <t>D</t>
  </si>
  <si>
    <t>E</t>
  </si>
  <si>
    <t>F</t>
  </si>
  <si>
    <t>Beste Kombi:</t>
  </si>
  <si>
    <t>ADEB</t>
  </si>
  <si>
    <t>Tabelle der Dritten 2</t>
  </si>
  <si>
    <t>Kombination</t>
  </si>
  <si>
    <t>Spiel 4</t>
  </si>
  <si>
    <t>ABCD</t>
  </si>
  <si>
    <t>ABCE</t>
  </si>
  <si>
    <t>ABCF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</si>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</sst>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h&quot;:&quot;mm&quot;:&quot;ss&quot; &quot;AM/PM"/>
    <numFmt numFmtId="60" formatCode="h&quot;:&quot;mm"/>
    <numFmt numFmtId="61" formatCode="hh&quot;:&quot;mm"/>
  </numFmts>
  <fonts count="1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11"/>
      <name val="Verdana"/>
    </font>
    <font>
      <b val="1"/>
      <sz val="14"/>
      <color indexed="12"/>
      <name val="Verdana"/>
    </font>
    <font>
      <sz val="11"/>
      <color indexed="11"/>
      <name val="Calibri"/>
    </font>
    <font>
      <u val="single"/>
      <sz val="11"/>
      <color indexed="11"/>
      <name val="Calibri"/>
    </font>
    <font>
      <b val="1"/>
      <sz val="16"/>
      <color indexed="11"/>
      <name val="Calibri"/>
    </font>
    <font>
      <b val="1"/>
      <sz val="11"/>
      <color indexed="8"/>
      <name val="Calibri"/>
    </font>
    <font>
      <sz val="11"/>
      <color indexed="8"/>
      <name val="Source Sans Pro"/>
    </font>
    <font>
      <b val="1"/>
      <sz val="11"/>
      <color indexed="8"/>
      <name val="Britannic Bold"/>
    </font>
    <font>
      <sz val="10"/>
      <color indexed="17"/>
      <name val="Verdana"/>
    </font>
    <font>
      <b val="1"/>
      <sz val="11"/>
      <color indexed="19"/>
      <name val="Calibri"/>
    </font>
    <font>
      <b val="1"/>
      <sz val="16"/>
      <color indexed="9"/>
      <name val="Calibri"/>
    </font>
    <font>
      <sz val="9"/>
      <color indexed="8"/>
      <name val="Arial"/>
    </font>
    <font>
      <sz val="11"/>
      <color indexed="22"/>
      <name val="Arial"/>
    </font>
    <font>
      <sz val="11"/>
      <color indexed="23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4"/>
        <bgColor auto="1"/>
      </patternFill>
    </fill>
  </fills>
  <borders count="6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13"/>
      </bottom>
      <diagonal/>
    </border>
    <border>
      <left style="thin">
        <color indexed="10"/>
      </left>
      <right style="medium">
        <color indexed="13"/>
      </right>
      <top/>
      <bottom/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medium">
        <color indexed="13"/>
      </left>
      <right/>
      <top/>
      <bottom/>
      <diagonal/>
    </border>
    <border>
      <left/>
      <right style="medium">
        <color indexed="13"/>
      </right>
      <top/>
      <bottom/>
      <diagonal/>
    </border>
    <border>
      <left style="medium">
        <color indexed="13"/>
      </left>
      <right style="medium">
        <color indexed="13"/>
      </right>
      <top style="medium">
        <color indexed="13"/>
      </top>
      <bottom/>
      <diagonal/>
    </border>
    <border>
      <left style="medium">
        <color indexed="13"/>
      </left>
      <right style="thin">
        <color indexed="10"/>
      </right>
      <top/>
      <bottom/>
      <diagonal/>
    </border>
    <border>
      <left style="medium">
        <color indexed="13"/>
      </left>
      <right/>
      <top style="medium">
        <color indexed="13"/>
      </top>
      <bottom/>
      <diagonal/>
    </border>
    <border>
      <left/>
      <right/>
      <top style="medium">
        <color indexed="13"/>
      </top>
      <bottom/>
      <diagonal/>
    </border>
    <border>
      <left/>
      <right style="medium">
        <color indexed="13"/>
      </right>
      <top style="medium">
        <color indexed="13"/>
      </top>
      <bottom/>
      <diagonal/>
    </border>
    <border>
      <left style="medium">
        <color indexed="13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medium">
        <color indexed="13"/>
      </right>
      <top/>
      <bottom style="thin">
        <color indexed="15"/>
      </bottom>
      <diagonal/>
    </border>
    <border>
      <left style="medium">
        <color indexed="13"/>
      </left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 style="medium">
        <color indexed="13"/>
      </right>
      <top style="thin">
        <color indexed="15"/>
      </top>
      <bottom style="thin">
        <color indexed="15"/>
      </bottom>
      <diagonal/>
    </border>
    <border>
      <left style="medium">
        <color indexed="13"/>
      </left>
      <right/>
      <top style="thin">
        <color indexed="15"/>
      </top>
      <bottom style="medium">
        <color indexed="13"/>
      </bottom>
      <diagonal/>
    </border>
    <border>
      <left/>
      <right/>
      <top style="thin">
        <color indexed="15"/>
      </top>
      <bottom style="medium">
        <color indexed="13"/>
      </bottom>
      <diagonal/>
    </border>
    <border>
      <left/>
      <right style="medium">
        <color indexed="13"/>
      </right>
      <top style="thin">
        <color indexed="15"/>
      </top>
      <bottom style="medium">
        <color indexed="13"/>
      </bottom>
      <diagonal/>
    </border>
    <border>
      <left/>
      <right/>
      <top style="medium">
        <color indexed="13"/>
      </top>
      <bottom style="medium">
        <color indexed="13"/>
      </bottom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 style="thin">
        <color indexed="15"/>
      </right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medium">
        <color indexed="13"/>
      </right>
      <top/>
      <bottom/>
      <diagonal/>
    </border>
    <border>
      <left style="medium">
        <color indexed="13"/>
      </left>
      <right/>
      <top/>
      <bottom style="medium">
        <color indexed="13"/>
      </bottom>
      <diagonal/>
    </border>
    <border>
      <left/>
      <right style="medium">
        <color indexed="13"/>
      </right>
      <top/>
      <bottom style="medium">
        <color indexed="13"/>
      </bottom>
      <diagonal/>
    </border>
    <border>
      <left style="medium">
        <color indexed="13"/>
      </left>
      <right style="medium">
        <color indexed="13"/>
      </right>
      <top/>
      <bottom/>
      <diagonal/>
    </border>
    <border>
      <left/>
      <right/>
      <top style="medium">
        <color indexed="13"/>
      </top>
      <bottom style="thin">
        <color indexed="15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medium">
        <color indexed="13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20"/>
      </bottom>
      <diagonal/>
    </border>
    <border>
      <left style="thin">
        <color indexed="10"/>
      </left>
      <right style="thin">
        <color indexed="2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medium">
        <color indexed="13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3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5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5"/>
      </top>
      <bottom/>
      <diagonal/>
    </border>
    <border>
      <left style="thin">
        <color indexed="10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0" fontId="5" fillId="2" borderId="2" applyNumberFormat="0" applyFont="1" applyFill="1" applyBorder="1" applyAlignment="1" applyProtection="0">
      <alignment horizontal="center" vertical="center"/>
    </xf>
    <xf numFmtId="0" fontId="6" fillId="2" borderId="2" applyNumberFormat="0" applyFont="1" applyFill="1" applyBorder="1" applyAlignment="1" applyProtection="0">
      <alignment horizontal="center" vertical="center"/>
    </xf>
    <xf numFmtId="0" fontId="6" fillId="2" borderId="3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center" vertical="center"/>
    </xf>
    <xf numFmtId="0" fontId="5" fillId="2" borderId="5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0" fontId="5" fillId="2" borderId="6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49" fontId="7" fillId="3" borderId="9" applyNumberFormat="1" applyFont="1" applyFill="1" applyBorder="1" applyAlignment="1" applyProtection="0">
      <alignment horizontal="center" vertical="center"/>
    </xf>
    <xf numFmtId="0" fontId="7" fillId="3" borderId="9" applyNumberFormat="0" applyFont="1" applyFill="1" applyBorder="1" applyAlignment="1" applyProtection="0">
      <alignment horizontal="center" vertical="center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49" fontId="7" fillId="3" borderId="12" applyNumberFormat="1" applyFont="1" applyFill="1" applyBorder="1" applyAlignment="1" applyProtection="0">
      <alignment horizontal="center" vertical="center"/>
    </xf>
    <xf numFmtId="0" fontId="7" fillId="3" borderId="12" applyNumberFormat="0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0" fontId="8" fillId="4" borderId="14" applyNumberFormat="0" applyFont="1" applyFill="1" applyBorder="1" applyAlignment="1" applyProtection="0">
      <alignment vertical="bottom"/>
    </xf>
    <xf numFmtId="0" fontId="8" fillId="4" borderId="15" applyNumberFormat="0" applyFont="1" applyFill="1" applyBorder="1" applyAlignment="1" applyProtection="0">
      <alignment horizontal="left" vertical="bottom"/>
    </xf>
    <xf numFmtId="0" fontId="0" fillId="4" borderId="15" applyNumberFormat="0" applyFont="1" applyFill="1" applyBorder="1" applyAlignment="1" applyProtection="0">
      <alignment vertical="bottom"/>
    </xf>
    <xf numFmtId="49" fontId="8" fillId="4" borderId="15" applyNumberFormat="1" applyFont="1" applyFill="1" applyBorder="1" applyAlignment="1" applyProtection="0">
      <alignment horizontal="center" vertical="center"/>
    </xf>
    <xf numFmtId="49" fontId="8" fillId="4" borderId="15" applyNumberFormat="1" applyFont="1" applyFill="1" applyBorder="1" applyAlignment="1" applyProtection="0">
      <alignment horizontal="left" vertical="center"/>
    </xf>
    <xf numFmtId="0" fontId="8" fillId="4" borderId="15" applyNumberFormat="0" applyFont="1" applyFill="1" applyBorder="1" applyAlignment="1" applyProtection="0">
      <alignment vertical="bottom"/>
    </xf>
    <xf numFmtId="49" fontId="8" fillId="4" borderId="15" applyNumberFormat="1" applyFont="1" applyFill="1" applyBorder="1" applyAlignment="1" applyProtection="0">
      <alignment vertical="bottom"/>
    </xf>
    <xf numFmtId="49" fontId="8" fillId="4" borderId="15" applyNumberFormat="1" applyFont="1" applyFill="1" applyBorder="1" applyAlignment="1" applyProtection="0">
      <alignment horizontal="center" vertical="bottom"/>
    </xf>
    <xf numFmtId="0" fontId="8" fillId="4" borderId="15" applyNumberFormat="0" applyFont="1" applyFill="1" applyBorder="1" applyAlignment="1" applyProtection="0">
      <alignment horizontal="center" vertical="bottom"/>
    </xf>
    <xf numFmtId="0" fontId="0" fillId="4" borderId="16" applyNumberFormat="0" applyFont="1" applyFill="1" applyBorder="1" applyAlignment="1" applyProtection="0">
      <alignment vertical="bottom"/>
    </xf>
    <xf numFmtId="0" fontId="8" fillId="4" borderId="10" applyNumberFormat="0" applyFont="1" applyFill="1" applyBorder="1" applyAlignment="1" applyProtection="0">
      <alignment vertical="bottom"/>
    </xf>
    <xf numFmtId="0" fontId="8" fillId="4" borderId="5" applyNumberFormat="0" applyFont="1" applyFill="1" applyBorder="1" applyAlignment="1" applyProtection="0">
      <alignment horizontal="left" vertical="bottom"/>
    </xf>
    <xf numFmtId="0" fontId="8" fillId="4" borderId="5" applyNumberFormat="0" applyFont="1" applyFill="1" applyBorder="1" applyAlignment="1" applyProtection="0">
      <alignment vertical="bottom"/>
    </xf>
    <xf numFmtId="49" fontId="8" fillId="4" borderId="5" applyNumberFormat="1" applyFont="1" applyFill="1" applyBorder="1" applyAlignment="1" applyProtection="0">
      <alignment horizontal="center" vertical="bottom"/>
    </xf>
    <xf numFmtId="49" fontId="8" fillId="4" borderId="5" applyNumberFormat="1" applyFont="1" applyFill="1" applyBorder="1" applyAlignment="1" applyProtection="0">
      <alignment horizontal="left" vertical="bottom"/>
    </xf>
    <xf numFmtId="49" fontId="8" fillId="4" borderId="5" applyNumberFormat="1" applyFont="1" applyFill="1" applyBorder="1" applyAlignment="1" applyProtection="0">
      <alignment vertical="bottom"/>
    </xf>
    <xf numFmtId="0" fontId="8" fillId="4" borderId="5" applyNumberFormat="0" applyFont="1" applyFill="1" applyBorder="1" applyAlignment="1" applyProtection="0">
      <alignment horizontal="center" vertical="bottom"/>
    </xf>
    <xf numFmtId="0" fontId="0" fillId="4" borderId="11" applyNumberFormat="0" applyFont="1" applyFill="1" applyBorder="1" applyAlignment="1" applyProtection="0">
      <alignment vertical="bottom"/>
    </xf>
    <xf numFmtId="49" fontId="0" fillId="4" borderId="17" applyNumberFormat="1" applyFont="1" applyFill="1" applyBorder="1" applyAlignment="1" applyProtection="0">
      <alignment horizontal="right" vertical="bottom"/>
    </xf>
    <xf numFmtId="49" fontId="0" fillId="4" borderId="18" applyNumberFormat="1" applyFont="1" applyFill="1" applyBorder="1" applyAlignment="1" applyProtection="0">
      <alignment horizontal="left" vertical="bottom"/>
    </xf>
    <xf numFmtId="0" fontId="0" fillId="4" borderId="18" applyNumberFormat="0" applyFont="1" applyFill="1" applyBorder="1" applyAlignment="1" applyProtection="0">
      <alignment horizontal="left" vertical="bottom"/>
    </xf>
    <xf numFmtId="0" fontId="0" fillId="4" borderId="18" applyNumberFormat="1" applyFont="1" applyFill="1" applyBorder="1" applyAlignment="1" applyProtection="0">
      <alignment horizontal="center" vertical="center"/>
    </xf>
    <xf numFmtId="49" fontId="0" fillId="4" borderId="18" applyNumberFormat="1" applyFont="1" applyFill="1" applyBorder="1" applyAlignment="1" applyProtection="0">
      <alignment horizontal="center" vertical="center"/>
    </xf>
    <xf numFmtId="0" fontId="0" fillId="4" borderId="18" applyNumberFormat="0" applyFont="1" applyFill="1" applyBorder="1" applyAlignment="1" applyProtection="0">
      <alignment vertical="bottom"/>
    </xf>
    <xf numFmtId="0" fontId="0" fillId="4" borderId="18" applyNumberFormat="1" applyFont="1" applyFill="1" applyBorder="1" applyAlignment="1" applyProtection="0">
      <alignment vertical="bottom"/>
    </xf>
    <xf numFmtId="49" fontId="0" fillId="4" borderId="18" applyNumberFormat="1" applyFont="1" applyFill="1" applyBorder="1" applyAlignment="1" applyProtection="0">
      <alignment horizontal="center" vertical="bottom"/>
    </xf>
    <xf numFmtId="0" fontId="0" fillId="4" borderId="18" applyNumberFormat="1" applyFont="1" applyFill="1" applyBorder="1" applyAlignment="1" applyProtection="0">
      <alignment horizontal="left" vertical="bottom"/>
    </xf>
    <xf numFmtId="0" fontId="0" fillId="4" borderId="18" applyNumberFormat="1" applyFont="1" applyFill="1" applyBorder="1" applyAlignment="1" applyProtection="0">
      <alignment horizontal="center" vertical="bottom"/>
    </xf>
    <xf numFmtId="0" fontId="0" fillId="4" borderId="18" applyNumberFormat="0" applyFont="1" applyFill="1" applyBorder="1" applyAlignment="1" applyProtection="0">
      <alignment horizontal="center" vertical="bottom"/>
    </xf>
    <xf numFmtId="0" fontId="0" fillId="4" borderId="19" applyNumberFormat="0" applyFont="1" applyFill="1" applyBorder="1" applyAlignment="1" applyProtection="0">
      <alignment horizontal="center" vertical="bottom"/>
    </xf>
    <xf numFmtId="49" fontId="0" fillId="4" borderId="20" applyNumberFormat="1" applyFont="1" applyFill="1" applyBorder="1" applyAlignment="1" applyProtection="0">
      <alignment horizontal="right" vertical="bottom"/>
    </xf>
    <xf numFmtId="49" fontId="0" fillId="4" borderId="21" applyNumberFormat="1" applyFont="1" applyFill="1" applyBorder="1" applyAlignment="1" applyProtection="0">
      <alignment horizontal="left" vertical="bottom"/>
    </xf>
    <xf numFmtId="0" fontId="0" fillId="4" borderId="21" applyNumberFormat="0" applyFont="1" applyFill="1" applyBorder="1" applyAlignment="1" applyProtection="0">
      <alignment horizontal="left" vertical="bottom"/>
    </xf>
    <xf numFmtId="0" fontId="0" fillId="4" borderId="21" applyNumberFormat="1" applyFont="1" applyFill="1" applyBorder="1" applyAlignment="1" applyProtection="0">
      <alignment horizontal="center" vertical="center"/>
    </xf>
    <xf numFmtId="49" fontId="0" fillId="4" borderId="21" applyNumberFormat="1" applyFont="1" applyFill="1" applyBorder="1" applyAlignment="1" applyProtection="0">
      <alignment horizontal="center" vertical="center"/>
    </xf>
    <xf numFmtId="0" fontId="0" fillId="4" borderId="21" applyNumberFormat="0" applyFont="1" applyFill="1" applyBorder="1" applyAlignment="1" applyProtection="0">
      <alignment vertical="bottom"/>
    </xf>
    <xf numFmtId="0" fontId="0" fillId="4" borderId="21" applyNumberFormat="1" applyFont="1" applyFill="1" applyBorder="1" applyAlignment="1" applyProtection="0">
      <alignment vertical="bottom"/>
    </xf>
    <xf numFmtId="49" fontId="0" fillId="4" borderId="21" applyNumberFormat="1" applyFont="1" applyFill="1" applyBorder="1" applyAlignment="1" applyProtection="0">
      <alignment horizontal="center" vertical="bottom"/>
    </xf>
    <xf numFmtId="0" fontId="0" fillId="4" borderId="21" applyNumberFormat="1" applyFont="1" applyFill="1" applyBorder="1" applyAlignment="1" applyProtection="0">
      <alignment horizontal="left" vertical="bottom"/>
    </xf>
    <xf numFmtId="0" fontId="0" fillId="4" borderId="21" applyNumberFormat="1" applyFont="1" applyFill="1" applyBorder="1" applyAlignment="1" applyProtection="0">
      <alignment horizontal="center" vertical="bottom"/>
    </xf>
    <xf numFmtId="0" fontId="0" fillId="4" borderId="21" applyNumberFormat="0" applyFont="1" applyFill="1" applyBorder="1" applyAlignment="1" applyProtection="0">
      <alignment horizontal="center" vertical="bottom"/>
    </xf>
    <xf numFmtId="0" fontId="0" fillId="4" borderId="22" applyNumberFormat="0" applyFont="1" applyFill="1" applyBorder="1" applyAlignment="1" applyProtection="0">
      <alignment horizontal="center" vertical="bottom"/>
    </xf>
    <xf numFmtId="49" fontId="0" fillId="4" borderId="23" applyNumberFormat="1" applyFont="1" applyFill="1" applyBorder="1" applyAlignment="1" applyProtection="0">
      <alignment horizontal="right" vertical="bottom"/>
    </xf>
    <xf numFmtId="49" fontId="0" fillId="4" borderId="24" applyNumberFormat="1" applyFont="1" applyFill="1" applyBorder="1" applyAlignment="1" applyProtection="0">
      <alignment horizontal="left" vertical="bottom"/>
    </xf>
    <xf numFmtId="0" fontId="0" fillId="4" borderId="24" applyNumberFormat="0" applyFont="1" applyFill="1" applyBorder="1" applyAlignment="1" applyProtection="0">
      <alignment horizontal="left" vertical="bottom"/>
    </xf>
    <xf numFmtId="0" fontId="0" fillId="4" borderId="24" applyNumberFormat="1" applyFont="1" applyFill="1" applyBorder="1" applyAlignment="1" applyProtection="0">
      <alignment horizontal="center" vertical="center"/>
    </xf>
    <xf numFmtId="49" fontId="0" fillId="4" borderId="24" applyNumberFormat="1" applyFont="1" applyFill="1" applyBorder="1" applyAlignment="1" applyProtection="0">
      <alignment horizontal="center" vertical="center"/>
    </xf>
    <xf numFmtId="0" fontId="0" fillId="4" borderId="24" applyNumberFormat="0" applyFont="1" applyFill="1" applyBorder="1" applyAlignment="1" applyProtection="0">
      <alignment vertical="bottom"/>
    </xf>
    <xf numFmtId="0" fontId="0" fillId="4" borderId="24" applyNumberFormat="1" applyFont="1" applyFill="1" applyBorder="1" applyAlignment="1" applyProtection="0">
      <alignment vertical="bottom"/>
    </xf>
    <xf numFmtId="49" fontId="0" fillId="4" borderId="24" applyNumberFormat="1" applyFont="1" applyFill="1" applyBorder="1" applyAlignment="1" applyProtection="0">
      <alignment horizontal="center" vertical="bottom"/>
    </xf>
    <xf numFmtId="0" fontId="0" fillId="4" borderId="24" applyNumberFormat="1" applyFont="1" applyFill="1" applyBorder="1" applyAlignment="1" applyProtection="0">
      <alignment horizontal="left" vertical="bottom"/>
    </xf>
    <xf numFmtId="0" fontId="0" fillId="4" borderId="24" applyNumberFormat="1" applyFont="1" applyFill="1" applyBorder="1" applyAlignment="1" applyProtection="0">
      <alignment horizontal="center" vertical="bottom"/>
    </xf>
    <xf numFmtId="0" fontId="0" fillId="4" borderId="24" applyNumberFormat="0" applyFont="1" applyFill="1" applyBorder="1" applyAlignment="1" applyProtection="0">
      <alignment horizontal="center" vertical="bottom"/>
    </xf>
    <xf numFmtId="0" fontId="0" fillId="4" borderId="25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horizontal="right" vertical="bottom"/>
    </xf>
    <xf numFmtId="0" fontId="0" fillId="2" borderId="26" applyNumberFormat="0" applyFont="1" applyFill="1" applyBorder="1" applyAlignment="1" applyProtection="0">
      <alignment horizontal="left" vertical="bottom"/>
    </xf>
    <xf numFmtId="0" fontId="0" fillId="2" borderId="26" applyNumberFormat="0" applyFont="1" applyFill="1" applyBorder="1" applyAlignment="1" applyProtection="0">
      <alignment horizontal="center" vertical="center"/>
    </xf>
    <xf numFmtId="0" fontId="0" fillId="2" borderId="26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8" fillId="5" borderId="10" applyNumberFormat="1" applyFont="1" applyFill="1" applyBorder="1" applyAlignment="1" applyProtection="0">
      <alignment horizontal="center" vertical="bottom"/>
    </xf>
    <xf numFmtId="49" fontId="8" fillId="5" borderId="5" applyNumberFormat="1" applyFont="1" applyFill="1" applyBorder="1" applyAlignment="1" applyProtection="0">
      <alignment horizontal="right" vertical="bottom"/>
    </xf>
    <xf numFmtId="49" fontId="8" fillId="5" borderId="5" applyNumberFormat="1" applyFont="1" applyFill="1" applyBorder="1" applyAlignment="1" applyProtection="0">
      <alignment horizontal="center" vertical="bottom"/>
    </xf>
    <xf numFmtId="0" fontId="8" fillId="5" borderId="5" applyNumberFormat="0" applyFont="1" applyFill="1" applyBorder="1" applyAlignment="1" applyProtection="0">
      <alignment horizontal="center" vertical="bottom"/>
    </xf>
    <xf numFmtId="0" fontId="8" fillId="5" borderId="18" applyNumberFormat="0" applyFont="1" applyFill="1" applyBorder="1" applyAlignment="1" applyProtection="0">
      <alignment vertical="bottom"/>
    </xf>
    <xf numFmtId="0" fontId="8" fillId="5" borderId="11" applyNumberFormat="0" applyFont="1" applyFill="1" applyBorder="1" applyAlignment="1" applyProtection="0">
      <alignment vertical="bottom"/>
    </xf>
    <xf numFmtId="49" fontId="8" fillId="5" borderId="10" applyNumberFormat="1" applyFont="1" applyFill="1" applyBorder="1" applyAlignment="1" applyProtection="0">
      <alignment horizontal="center" vertical="center"/>
    </xf>
    <xf numFmtId="49" fontId="8" fillId="5" borderId="5" applyNumberFormat="1" applyFont="1" applyFill="1" applyBorder="1" applyAlignment="1" applyProtection="0">
      <alignment horizontal="right" vertical="center"/>
    </xf>
    <xf numFmtId="49" fontId="8" fillId="5" borderId="5" applyNumberFormat="1" applyFont="1" applyFill="1" applyBorder="1" applyAlignment="1" applyProtection="0">
      <alignment horizontal="center" vertical="center"/>
    </xf>
    <xf numFmtId="0" fontId="8" fillId="5" borderId="5" applyNumberFormat="0" applyFont="1" applyFill="1" applyBorder="1" applyAlignment="1" applyProtection="0">
      <alignment vertical="center"/>
    </xf>
    <xf numFmtId="0" fontId="8" fillId="5" borderId="5" applyNumberFormat="0" applyFont="1" applyFill="1" applyBorder="1" applyAlignment="1" applyProtection="0">
      <alignment horizontal="center" vertical="center"/>
    </xf>
    <xf numFmtId="0" fontId="8" fillId="5" borderId="18" applyNumberFormat="0" applyFont="1" applyFill="1" applyBorder="1" applyAlignment="1" applyProtection="0">
      <alignment vertical="center"/>
    </xf>
    <xf numFmtId="0" fontId="0" fillId="5" borderId="10" applyNumberFormat="1" applyFont="1" applyFill="1" applyBorder="1" applyAlignment="1" applyProtection="0">
      <alignment horizontal="right" vertical="bottom"/>
    </xf>
    <xf numFmtId="49" fontId="0" fillId="5" borderId="5" applyNumberFormat="1" applyFont="1" applyFill="1" applyBorder="1" applyAlignment="1" applyProtection="0">
      <alignment horizontal="right" vertical="bottom"/>
    </xf>
    <xf numFmtId="20" fontId="0" fillId="5" borderId="5" applyNumberFormat="1" applyFont="1" applyFill="1" applyBorder="1" applyAlignment="1" applyProtection="0">
      <alignment horizontal="center" vertical="bottom"/>
    </xf>
    <xf numFmtId="59" fontId="0" fillId="5" borderId="5" applyNumberFormat="1" applyFont="1" applyFill="1" applyBorder="1" applyAlignment="1" applyProtection="0">
      <alignment vertical="bottom"/>
    </xf>
    <xf numFmtId="0" fontId="0" fillId="5" borderId="5" applyNumberFormat="0" applyFont="1" applyFill="1" applyBorder="1" applyAlignment="1" applyProtection="0">
      <alignment horizontal="right" vertical="bottom"/>
    </xf>
    <xf numFmtId="49" fontId="0" fillId="5" borderId="5" applyNumberFormat="1" applyFont="1" applyFill="1" applyBorder="1" applyAlignment="1" applyProtection="0">
      <alignment horizontal="center" vertical="bottom"/>
    </xf>
    <xf numFmtId="49" fontId="0" fillId="5" borderId="27" applyNumberFormat="1" applyFont="1" applyFill="1" applyBorder="1" applyAlignment="1" applyProtection="0">
      <alignment vertical="bottom"/>
    </xf>
    <xf numFmtId="0" fontId="0" fillId="5" borderId="28" applyNumberFormat="0" applyFont="1" applyFill="1" applyBorder="1" applyAlignment="1" applyProtection="0">
      <alignment vertical="bottom"/>
    </xf>
    <xf numFmtId="0" fontId="9" fillId="4" borderId="29" applyNumberFormat="1" applyFont="1" applyFill="1" applyBorder="1" applyAlignment="1" applyProtection="0">
      <alignment horizontal="right" vertical="bottom"/>
    </xf>
    <xf numFmtId="49" fontId="9" fillId="5" borderId="28" applyNumberFormat="1" applyFont="1" applyFill="1" applyBorder="1" applyAlignment="1" applyProtection="0">
      <alignment horizontal="center" vertical="bottom"/>
    </xf>
    <xf numFmtId="0" fontId="10" fillId="5" borderId="30" applyNumberFormat="0" applyFont="1" applyFill="1" applyBorder="1" applyAlignment="1" applyProtection="0">
      <alignment vertical="bottom"/>
    </xf>
    <xf numFmtId="0" fontId="0" fillId="5" borderId="5" applyNumberFormat="0" applyFont="1" applyFill="1" applyBorder="1" applyAlignment="1" applyProtection="0">
      <alignment vertical="bottom"/>
    </xf>
    <xf numFmtId="49" fontId="0" fillId="5" borderId="27" applyNumberFormat="1" applyFont="1" applyFill="1" applyBorder="1" applyAlignment="1" applyProtection="0">
      <alignment horizontal="left" vertical="bottom"/>
    </xf>
    <xf numFmtId="0" fontId="0" fillId="5" borderId="28" applyNumberFormat="0" applyFont="1" applyFill="1" applyBorder="1" applyAlignment="1" applyProtection="0">
      <alignment horizontal="left" vertical="bottom"/>
    </xf>
    <xf numFmtId="49" fontId="0" fillId="5" borderId="28" applyNumberFormat="1" applyFont="1" applyFill="1" applyBorder="1" applyAlignment="1" applyProtection="0">
      <alignment horizontal="center" vertical="bottom"/>
    </xf>
    <xf numFmtId="0" fontId="0" fillId="5" borderId="30" applyNumberFormat="0" applyFont="1" applyFill="1" applyBorder="1" applyAlignment="1" applyProtection="0">
      <alignment vertical="bottom"/>
    </xf>
    <xf numFmtId="49" fontId="0" fillId="5" borderId="27" applyNumberFormat="1" applyFont="1" applyFill="1" applyBorder="1" applyAlignment="1" applyProtection="0">
      <alignment horizontal="center" vertical="bottom"/>
    </xf>
    <xf numFmtId="49" fontId="0" fillId="5" borderId="28" applyNumberFormat="1" applyFont="1" applyFill="1" applyBorder="1" applyAlignment="1" applyProtection="0">
      <alignment horizontal="left" vertical="bottom"/>
    </xf>
    <xf numFmtId="49" fontId="0" fillId="5" borderId="27" applyNumberFormat="1" applyFont="1" applyFill="1" applyBorder="1" applyAlignment="1" applyProtection="0">
      <alignment vertical="bottom" wrapText="1"/>
    </xf>
    <xf numFmtId="0" fontId="0" fillId="5" borderId="28" applyNumberFormat="0" applyFont="1" applyFill="1" applyBorder="1" applyAlignment="1" applyProtection="0">
      <alignment vertical="bottom" wrapText="1"/>
    </xf>
    <xf numFmtId="0" fontId="10" fillId="5" borderId="31" applyNumberFormat="0" applyFont="1" applyFill="1" applyBorder="1" applyAlignment="1" applyProtection="0">
      <alignment vertical="bottom"/>
    </xf>
    <xf numFmtId="0" fontId="10" fillId="5" borderId="7" applyNumberFormat="0" applyFont="1" applyFill="1" applyBorder="1" applyAlignment="1" applyProtection="0">
      <alignment vertical="bottom"/>
    </xf>
    <xf numFmtId="0" fontId="10" fillId="5" borderId="7" applyNumberFormat="0" applyFont="1" applyFill="1" applyBorder="1" applyAlignment="1" applyProtection="0">
      <alignment horizontal="center" vertical="bottom"/>
    </xf>
    <xf numFmtId="0" fontId="10" fillId="5" borderId="24" applyNumberFormat="0" applyFont="1" applyFill="1" applyBorder="1" applyAlignment="1" applyProtection="0">
      <alignment vertical="bottom"/>
    </xf>
    <xf numFmtId="0" fontId="10" fillId="5" borderId="32" applyNumberFormat="0" applyFont="1" applyFill="1" applyBorder="1" applyAlignment="1" applyProtection="0">
      <alignment vertical="bottom"/>
    </xf>
    <xf numFmtId="0" fontId="0" fillId="5" borderId="31" applyNumberFormat="0" applyFont="1" applyFill="1" applyBorder="1" applyAlignment="1" applyProtection="0">
      <alignment vertical="bottom"/>
    </xf>
    <xf numFmtId="0" fontId="0" fillId="5" borderId="7" applyNumberFormat="0" applyFont="1" applyFill="1" applyBorder="1" applyAlignment="1" applyProtection="0">
      <alignment vertical="bottom"/>
    </xf>
    <xf numFmtId="0" fontId="0" fillId="5" borderId="7" applyNumberFormat="0" applyFont="1" applyFill="1" applyBorder="1" applyAlignment="1" applyProtection="0">
      <alignment horizontal="center" vertical="bottom"/>
    </xf>
    <xf numFmtId="0" fontId="0" fillId="5" borderId="24" applyNumberFormat="0" applyFont="1" applyFill="1" applyBorder="1" applyAlignment="1" applyProtection="0">
      <alignment vertical="bottom"/>
    </xf>
    <xf numFmtId="0" fontId="0" fillId="5" borderId="32" applyNumberFormat="0" applyFont="1" applyFill="1" applyBorder="1" applyAlignment="1" applyProtection="0">
      <alignment vertical="bottom"/>
    </xf>
    <xf numFmtId="0" fontId="11" fillId="2" borderId="26" applyNumberFormat="0" applyFont="1" applyFill="1" applyBorder="1" applyAlignment="1" applyProtection="0">
      <alignment vertical="bottom"/>
    </xf>
    <xf numFmtId="49" fontId="8" fillId="4" borderId="15" applyNumberFormat="1" applyFont="1" applyFill="1" applyBorder="1" applyAlignment="1" applyProtection="0">
      <alignment horizontal="left" vertical="bottom"/>
    </xf>
    <xf numFmtId="0" fontId="8" fillId="4" borderId="16" applyNumberFormat="0" applyFont="1" applyFill="1" applyBorder="1" applyAlignment="1" applyProtection="0">
      <alignment vertical="bottom"/>
    </xf>
    <xf numFmtId="0" fontId="8" fillId="4" borderId="11" applyNumberFormat="0" applyFont="1" applyFill="1" applyBorder="1" applyAlignment="1" applyProtection="0">
      <alignment horizontal="center" vertical="bottom"/>
    </xf>
    <xf numFmtId="0" fontId="0" fillId="4" borderId="19" applyNumberFormat="0" applyFont="1" applyFill="1" applyBorder="1" applyAlignment="1" applyProtection="0">
      <alignment vertical="bottom"/>
    </xf>
    <xf numFmtId="0" fontId="0" fillId="4" borderId="22" applyNumberFormat="0" applyFont="1" applyFill="1" applyBorder="1" applyAlignment="1" applyProtection="0">
      <alignment vertical="bottom"/>
    </xf>
    <xf numFmtId="0" fontId="0" fillId="4" borderId="25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horizontal="right" vertical="bottom"/>
    </xf>
    <xf numFmtId="0" fontId="0" fillId="2" borderId="15" applyNumberFormat="0" applyFont="1" applyFill="1" applyBorder="1" applyAlignment="1" applyProtection="0">
      <alignment horizontal="left" vertical="bottom"/>
    </xf>
    <xf numFmtId="0" fontId="0" fillId="2" borderId="15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49" fontId="7" fillId="3" borderId="33" applyNumberFormat="1" applyFont="1" applyFill="1" applyBorder="1" applyAlignment="1" applyProtection="0">
      <alignment horizontal="center" vertical="center"/>
    </xf>
    <xf numFmtId="0" fontId="7" fillId="3" borderId="33" applyNumberFormat="0" applyFont="1" applyFill="1" applyBorder="1" applyAlignment="1" applyProtection="0">
      <alignment horizontal="center" vertical="center"/>
    </xf>
    <xf numFmtId="0" fontId="8" fillId="5" borderId="5" applyNumberFormat="0" applyFont="1" applyFill="1" applyBorder="1" applyAlignment="1" applyProtection="0">
      <alignment vertical="bottom"/>
    </xf>
    <xf numFmtId="49" fontId="8" fillId="5" borderId="5" applyNumberFormat="1" applyFont="1" applyFill="1" applyBorder="1" applyAlignment="1" applyProtection="0">
      <alignment vertical="bottom"/>
    </xf>
    <xf numFmtId="0" fontId="0" fillId="5" borderId="11" applyNumberFormat="0" applyFont="1" applyFill="1" applyBorder="1" applyAlignment="1" applyProtection="0">
      <alignment vertical="bottom"/>
    </xf>
    <xf numFmtId="0" fontId="8" fillId="5" borderId="18" applyNumberFormat="0" applyFont="1" applyFill="1" applyBorder="1" applyAlignment="1" applyProtection="0">
      <alignment horizontal="center" vertical="bottom"/>
    </xf>
    <xf numFmtId="0" fontId="0" fillId="5" borderId="18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horizontal="center" vertical="bottom"/>
    </xf>
    <xf numFmtId="0" fontId="0" fillId="5" borderId="10" applyNumberFormat="1" applyFont="1" applyFill="1" applyBorder="1" applyAlignment="1" applyProtection="0">
      <alignment vertical="bottom"/>
    </xf>
    <xf numFmtId="49" fontId="0" fillId="5" borderId="5" applyNumberFormat="1" applyFont="1" applyFill="1" applyBorder="1" applyAlignment="1" applyProtection="0">
      <alignment horizontal="right" vertical="center"/>
    </xf>
    <xf numFmtId="0" fontId="0" fillId="5" borderId="5" applyNumberFormat="0" applyFont="1" applyFill="1" applyBorder="1" applyAlignment="1" applyProtection="0">
      <alignment horizontal="right" vertical="center"/>
    </xf>
    <xf numFmtId="49" fontId="0" fillId="5" borderId="27" applyNumberFormat="1" applyFont="1" applyFill="1" applyBorder="1" applyAlignment="1" applyProtection="0">
      <alignment horizontal="left" vertical="center"/>
    </xf>
    <xf numFmtId="0" fontId="0" fillId="5" borderId="28" applyNumberFormat="0" applyFont="1" applyFill="1" applyBorder="1" applyAlignment="1" applyProtection="0">
      <alignment horizontal="left" vertical="center"/>
    </xf>
    <xf numFmtId="0" fontId="8" fillId="4" borderId="11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horizontal="center" vertical="bottom"/>
    </xf>
    <xf numFmtId="60" fontId="0" fillId="5" borderId="5" applyNumberFormat="1" applyFont="1" applyFill="1" applyBorder="1" applyAlignment="1" applyProtection="0">
      <alignment horizontal="center" vertical="bottom"/>
    </xf>
    <xf numFmtId="49" fontId="7" fillId="3" borderId="14" applyNumberFormat="1" applyFont="1" applyFill="1" applyBorder="1" applyAlignment="1" applyProtection="0">
      <alignment horizontal="center" vertical="center"/>
    </xf>
    <xf numFmtId="0" fontId="7" fillId="3" borderId="15" applyNumberFormat="0" applyFont="1" applyFill="1" applyBorder="1" applyAlignment="1" applyProtection="0">
      <alignment horizontal="center" vertical="center"/>
    </xf>
    <xf numFmtId="0" fontId="7" fillId="3" borderId="16" applyNumberFormat="0" applyFont="1" applyFill="1" applyBorder="1" applyAlignment="1" applyProtection="0">
      <alignment horizontal="center" vertical="center"/>
    </xf>
    <xf numFmtId="49" fontId="8" fillId="6" borderId="10" applyNumberFormat="1" applyFont="1" applyFill="1" applyBorder="1" applyAlignment="1" applyProtection="0">
      <alignment horizontal="center" vertical="bottom"/>
    </xf>
    <xf numFmtId="49" fontId="8" fillId="6" borderId="5" applyNumberFormat="1" applyFont="1" applyFill="1" applyBorder="1" applyAlignment="1" applyProtection="0">
      <alignment horizontal="right" vertical="bottom"/>
    </xf>
    <xf numFmtId="49" fontId="8" fillId="6" borderId="5" applyNumberFormat="1" applyFont="1" applyFill="1" applyBorder="1" applyAlignment="1" applyProtection="0">
      <alignment horizontal="center" vertical="bottom"/>
    </xf>
    <xf numFmtId="0" fontId="12" fillId="6" borderId="5" applyNumberFormat="0" applyFont="1" applyFill="1" applyBorder="1" applyAlignment="1" applyProtection="0">
      <alignment horizontal="center" vertical="bottom"/>
    </xf>
    <xf numFmtId="0" fontId="12" fillId="6" borderId="18" applyNumberFormat="0" applyFont="1" applyFill="1" applyBorder="1" applyAlignment="1" applyProtection="0">
      <alignment horizontal="center" vertical="bottom"/>
    </xf>
    <xf numFmtId="0" fontId="8" fillId="6" borderId="18" applyNumberFormat="0" applyFont="1" applyFill="1" applyBorder="1" applyAlignment="1" applyProtection="0">
      <alignment horizontal="center" vertical="bottom"/>
    </xf>
    <xf numFmtId="0" fontId="8" fillId="6" borderId="11" applyNumberFormat="0" applyFont="1" applyFill="1" applyBorder="1" applyAlignment="1" applyProtection="0">
      <alignment vertical="bottom"/>
    </xf>
    <xf numFmtId="0" fontId="12" fillId="6" borderId="5" applyNumberFormat="0" applyFont="1" applyFill="1" applyBorder="1" applyAlignment="1" applyProtection="0">
      <alignment vertical="bottom"/>
    </xf>
    <xf numFmtId="0" fontId="12" fillId="6" borderId="18" applyNumberFormat="0" applyFont="1" applyFill="1" applyBorder="1" applyAlignment="1" applyProtection="0">
      <alignment vertical="bottom"/>
    </xf>
    <xf numFmtId="0" fontId="8" fillId="6" borderId="18" applyNumberFormat="0" applyFont="1" applyFill="1" applyBorder="1" applyAlignment="1" applyProtection="0">
      <alignment vertical="bottom"/>
    </xf>
    <xf numFmtId="0" fontId="0" fillId="6" borderId="11" applyNumberFormat="0" applyFont="1" applyFill="1" applyBorder="1" applyAlignment="1" applyProtection="0">
      <alignment vertical="bottom"/>
    </xf>
    <xf numFmtId="0" fontId="0" fillId="6" borderId="10" applyNumberFormat="1" applyFont="1" applyFill="1" applyBorder="1" applyAlignment="1" applyProtection="0">
      <alignment vertical="bottom"/>
    </xf>
    <xf numFmtId="49" fontId="0" fillId="6" borderId="5" applyNumberFormat="1" applyFont="1" applyFill="1" applyBorder="1" applyAlignment="1" applyProtection="0">
      <alignment horizontal="right" vertical="bottom"/>
    </xf>
    <xf numFmtId="60" fontId="0" fillId="6" borderId="5" applyNumberFormat="1" applyFont="1" applyFill="1" applyBorder="1" applyAlignment="1" applyProtection="0">
      <alignment horizontal="center" vertical="bottom"/>
    </xf>
    <xf numFmtId="0" fontId="0" fillId="6" borderId="5" applyNumberFormat="0" applyFont="1" applyFill="1" applyBorder="1" applyAlignment="1" applyProtection="0">
      <alignment vertical="bottom"/>
    </xf>
    <xf numFmtId="0" fontId="0" fillId="6" borderId="5" applyNumberFormat="0" applyFont="1" applyFill="1" applyBorder="1" applyAlignment="1" applyProtection="0">
      <alignment horizontal="right" vertical="bottom"/>
    </xf>
    <xf numFmtId="49" fontId="0" fillId="6" borderId="5" applyNumberFormat="1" applyFont="1" applyFill="1" applyBorder="1" applyAlignment="1" applyProtection="0">
      <alignment horizontal="center" vertical="bottom"/>
    </xf>
    <xf numFmtId="49" fontId="0" fillId="6" borderId="5" applyNumberFormat="1" applyFont="1" applyFill="1" applyBorder="1" applyAlignment="1" applyProtection="0">
      <alignment horizontal="left" vertical="bottom"/>
    </xf>
    <xf numFmtId="0" fontId="0" fillId="6" borderId="5" applyNumberFormat="0" applyFont="1" applyFill="1" applyBorder="1" applyAlignment="1" applyProtection="0">
      <alignment horizontal="left" vertical="bottom"/>
    </xf>
    <xf numFmtId="0" fontId="0" fillId="6" borderId="27" applyNumberFormat="0" applyFont="1" applyFill="1" applyBorder="1" applyAlignment="1" applyProtection="0">
      <alignment horizontal="left" vertical="bottom"/>
    </xf>
    <xf numFmtId="0" fontId="0" fillId="4" borderId="29" applyNumberFormat="1" applyFont="1" applyFill="1" applyBorder="1" applyAlignment="1" applyProtection="0">
      <alignment vertical="bottom"/>
    </xf>
    <xf numFmtId="49" fontId="0" fillId="6" borderId="28" applyNumberFormat="1" applyFont="1" applyFill="1" applyBorder="1" applyAlignment="1" applyProtection="0">
      <alignment horizontal="center" vertical="bottom"/>
    </xf>
    <xf numFmtId="0" fontId="0" fillId="6" borderId="30" applyNumberFormat="0" applyFont="1" applyFill="1" applyBorder="1" applyAlignment="1" applyProtection="0">
      <alignment vertical="bottom"/>
    </xf>
    <xf numFmtId="49" fontId="0" fillId="6" borderId="5" applyNumberFormat="1" applyFont="1" applyFill="1" applyBorder="1" applyAlignment="1" applyProtection="0">
      <alignment vertical="bottom"/>
    </xf>
    <xf numFmtId="0" fontId="0" fillId="6" borderId="27" applyNumberFormat="0" applyFont="1" applyFill="1" applyBorder="1" applyAlignment="1" applyProtection="0">
      <alignment vertical="bottom"/>
    </xf>
    <xf numFmtId="0" fontId="0" fillId="6" borderId="31" applyNumberFormat="0" applyFont="1" applyFill="1" applyBorder="1" applyAlignment="1" applyProtection="0">
      <alignment vertical="bottom"/>
    </xf>
    <xf numFmtId="0" fontId="0" fillId="6" borderId="7" applyNumberFormat="0" applyFont="1" applyFill="1" applyBorder="1" applyAlignment="1" applyProtection="0">
      <alignment vertical="bottom"/>
    </xf>
    <xf numFmtId="0" fontId="0" fillId="6" borderId="24" applyNumberFormat="0" applyFont="1" applyFill="1" applyBorder="1" applyAlignment="1" applyProtection="0">
      <alignment vertical="bottom"/>
    </xf>
    <xf numFmtId="0" fontId="0" fillId="6" borderId="32" applyNumberFormat="0" applyFont="1" applyFill="1" applyBorder="1" applyAlignment="1" applyProtection="0">
      <alignment vertical="bottom"/>
    </xf>
    <xf numFmtId="61" fontId="0" fillId="6" borderId="5" applyNumberFormat="1" applyFont="1" applyFill="1" applyBorder="1" applyAlignment="1" applyProtection="0">
      <alignment horizontal="center" vertical="bottom"/>
    </xf>
    <xf numFmtId="49" fontId="8" fillId="6" borderId="14" applyNumberFormat="1" applyFont="1" applyFill="1" applyBorder="1" applyAlignment="1" applyProtection="0">
      <alignment horizontal="center" vertical="bottom"/>
    </xf>
    <xf numFmtId="49" fontId="8" fillId="6" borderId="15" applyNumberFormat="1" applyFont="1" applyFill="1" applyBorder="1" applyAlignment="1" applyProtection="0">
      <alignment horizontal="right" vertical="bottom"/>
    </xf>
    <xf numFmtId="49" fontId="8" fillId="6" borderId="15" applyNumberFormat="1" applyFont="1" applyFill="1" applyBorder="1" applyAlignment="1" applyProtection="0">
      <alignment horizontal="center" vertical="bottom"/>
    </xf>
    <xf numFmtId="0" fontId="12" fillId="6" borderId="15" applyNumberFormat="0" applyFont="1" applyFill="1" applyBorder="1" applyAlignment="1" applyProtection="0">
      <alignment vertical="bottom"/>
    </xf>
    <xf numFmtId="0" fontId="12" fillId="6" borderId="15" applyNumberFormat="0" applyFont="1" applyFill="1" applyBorder="1" applyAlignment="1" applyProtection="0">
      <alignment horizontal="center" vertical="bottom"/>
    </xf>
    <xf numFmtId="0" fontId="12" fillId="6" borderId="34" applyNumberFormat="0" applyFont="1" applyFill="1" applyBorder="1" applyAlignment="1" applyProtection="0">
      <alignment vertical="bottom"/>
    </xf>
    <xf numFmtId="0" fontId="8" fillId="6" borderId="34" applyNumberFormat="0" applyFont="1" applyFill="1" applyBorder="1" applyAlignment="1" applyProtection="0">
      <alignment vertical="bottom"/>
    </xf>
    <xf numFmtId="0" fontId="0" fillId="6" borderId="16" applyNumberFormat="0" applyFont="1" applyFill="1" applyBorder="1" applyAlignment="1" applyProtection="0">
      <alignment vertical="bottom"/>
    </xf>
    <xf numFmtId="0" fontId="0" fillId="4" borderId="29" applyNumberFormat="0" applyFont="1" applyFill="1" applyBorder="1" applyAlignment="1" applyProtection="0">
      <alignment vertical="bottom"/>
    </xf>
    <xf numFmtId="0" fontId="12" fillId="2" borderId="5" applyNumberFormat="0" applyFont="1" applyFill="1" applyBorder="1" applyAlignment="1" applyProtection="0">
      <alignment vertical="bottom"/>
    </xf>
    <xf numFmtId="0" fontId="8" fillId="2" borderId="7" applyNumberFormat="0" applyFont="1" applyFill="1" applyBorder="1" applyAlignment="1" applyProtection="0">
      <alignment horizontal="center" vertical="bottom"/>
    </xf>
    <xf numFmtId="0" fontId="8" fillId="2" borderId="7" applyNumberFormat="0" applyFont="1" applyFill="1" applyBorder="1" applyAlignment="1" applyProtection="0">
      <alignment vertical="bottom"/>
    </xf>
    <xf numFmtId="0" fontId="8" fillId="2" borderId="5" applyNumberFormat="0" applyFont="1" applyFill="1" applyBorder="1" applyAlignment="1" applyProtection="0">
      <alignment vertical="bottom"/>
    </xf>
    <xf numFmtId="0" fontId="5" borderId="5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13" fillId="7" borderId="9" applyNumberFormat="1" applyFont="1" applyFill="1" applyBorder="1" applyAlignment="1" applyProtection="0">
      <alignment horizontal="center" vertical="center"/>
    </xf>
    <xf numFmtId="0" fontId="13" fillId="7" borderId="9" applyNumberFormat="0" applyFont="1" applyFill="1" applyBorder="1" applyAlignment="1" applyProtection="0">
      <alignment horizontal="center" vertical="center"/>
    </xf>
    <xf numFmtId="0" fontId="7" fillId="2" borderId="10" applyNumberFormat="0" applyFont="1" applyFill="1" applyBorder="1" applyAlignment="1" applyProtection="0">
      <alignment vertical="center"/>
    </xf>
    <xf numFmtId="0" fontId="7" fillId="2" borderId="11" applyNumberFormat="0" applyFont="1" applyFill="1" applyBorder="1" applyAlignment="1" applyProtection="0">
      <alignment vertical="center"/>
    </xf>
    <xf numFmtId="0" fontId="0" fillId="2" borderId="10" applyNumberFormat="0" applyFont="1" applyFill="1" applyBorder="1" applyAlignment="1" applyProtection="0">
      <alignment vertical="center"/>
    </xf>
    <xf numFmtId="0" fontId="0" fillId="2" borderId="35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center"/>
    </xf>
    <xf numFmtId="0" fontId="7" fillId="2" borderId="36" applyNumberFormat="0" applyFont="1" applyFill="1" applyBorder="1" applyAlignment="1" applyProtection="0">
      <alignment vertical="center"/>
    </xf>
    <xf numFmtId="0" fontId="0" fillId="2" borderId="38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39" applyNumberFormat="1" applyFont="1" applyFill="0" applyBorder="1" applyAlignment="1" applyProtection="0">
      <alignment vertical="bottom"/>
    </xf>
    <xf numFmtId="0" fontId="0" borderId="39" applyNumberFormat="0" applyFont="1" applyFill="0" applyBorder="1" applyAlignment="1" applyProtection="0">
      <alignment vertical="bottom"/>
    </xf>
    <xf numFmtId="0" fontId="0" borderId="40" applyNumberFormat="0" applyFont="1" applyFill="0" applyBorder="1" applyAlignment="1" applyProtection="0">
      <alignment vertical="bottom"/>
    </xf>
    <xf numFmtId="0" fontId="0" borderId="41" applyNumberFormat="0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0" borderId="43" applyNumberFormat="0" applyFont="1" applyFill="0" applyBorder="1" applyAlignment="1" applyProtection="0">
      <alignment vertical="bottom"/>
    </xf>
    <xf numFmtId="49" fontId="0" borderId="41" applyNumberFormat="1" applyFont="1" applyFill="0" applyBorder="1" applyAlignment="1" applyProtection="0">
      <alignment vertical="bottom"/>
    </xf>
    <xf numFmtId="49" fontId="0" borderId="42" applyNumberFormat="1" applyFont="1" applyFill="0" applyBorder="1" applyAlignment="1" applyProtection="0">
      <alignment vertical="bottom"/>
    </xf>
    <xf numFmtId="49" fontId="0" fillId="7" borderId="42" applyNumberFormat="1" applyFont="1" applyFill="1" applyBorder="1" applyAlignment="1" applyProtection="0">
      <alignment horizontal="center" vertical="center"/>
    </xf>
    <xf numFmtId="49" fontId="0" fillId="7" borderId="42" applyNumberFormat="1" applyFont="1" applyFill="1" applyBorder="1" applyAlignment="1" applyProtection="0">
      <alignment horizontal="left" vertical="center"/>
    </xf>
    <xf numFmtId="49" fontId="0" borderId="42" applyNumberFormat="1" applyFont="1" applyFill="0" applyBorder="1" applyAlignment="1" applyProtection="0">
      <alignment horizontal="center" vertical="bottom"/>
    </xf>
    <xf numFmtId="49" fontId="0" borderId="43" applyNumberFormat="1" applyFont="1" applyFill="0" applyBorder="1" applyAlignment="1" applyProtection="0">
      <alignment vertical="bottom"/>
    </xf>
    <xf numFmtId="0" fontId="0" borderId="41" applyNumberFormat="1" applyFont="1" applyFill="0" applyBorder="1" applyAlignment="1" applyProtection="0">
      <alignment vertical="bottom"/>
    </xf>
    <xf numFmtId="49" fontId="0" borderId="42" applyNumberFormat="1" applyFont="1" applyFill="0" applyBorder="1" applyAlignment="1" applyProtection="0">
      <alignment horizontal="left" vertical="bottom"/>
    </xf>
    <xf numFmtId="0" fontId="0" fillId="7" borderId="42" applyNumberFormat="1" applyFont="1" applyFill="1" applyBorder="1" applyAlignment="1" applyProtection="0">
      <alignment horizontal="center" vertical="center"/>
    </xf>
    <xf numFmtId="0" fontId="0" borderId="42" applyNumberFormat="1" applyFont="1" applyFill="0" applyBorder="1" applyAlignment="1" applyProtection="0">
      <alignment vertical="bottom"/>
    </xf>
    <xf numFmtId="0" fontId="0" borderId="42" applyNumberFormat="1" applyFont="1" applyFill="0" applyBorder="1" applyAlignment="1" applyProtection="0">
      <alignment horizontal="center" vertical="bottom"/>
    </xf>
    <xf numFmtId="0" fontId="0" borderId="43" applyNumberFormat="1" applyFont="1" applyFill="0" applyBorder="1" applyAlignment="1" applyProtection="0">
      <alignment vertical="bottom"/>
    </xf>
    <xf numFmtId="0" fontId="0" borderId="39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14" fillId="7" borderId="39" applyNumberFormat="1" applyFont="1" applyFill="1" applyBorder="1" applyAlignment="1" applyProtection="0">
      <alignment vertical="center"/>
    </xf>
    <xf numFmtId="0" fontId="14" fillId="7" borderId="39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borderId="44" applyNumberFormat="0" applyFont="1" applyFill="0" applyBorder="1" applyAlignment="1" applyProtection="0">
      <alignment vertical="bottom"/>
    </xf>
    <xf numFmtId="0" fontId="0" borderId="45" applyNumberFormat="0" applyFont="1" applyFill="0" applyBorder="1" applyAlignment="1" applyProtection="0">
      <alignment vertical="bottom"/>
    </xf>
    <xf numFmtId="0" fontId="0" borderId="46" applyNumberFormat="0" applyFont="1" applyFill="0" applyBorder="1" applyAlignment="1" applyProtection="0">
      <alignment vertical="bottom"/>
    </xf>
    <xf numFmtId="0" fontId="0" borderId="47" applyNumberFormat="0" applyFont="1" applyFill="0" applyBorder="1" applyAlignment="1" applyProtection="0">
      <alignment vertical="bottom"/>
    </xf>
    <xf numFmtId="49" fontId="0" borderId="39" applyNumberFormat="1" applyFont="1" applyFill="0" applyBorder="1" applyAlignment="1" applyProtection="0">
      <alignment horizontal="center" vertical="bottom"/>
    </xf>
    <xf numFmtId="0" fontId="0" borderId="39" applyNumberFormat="0" applyFont="1" applyFill="0" applyBorder="1" applyAlignment="1" applyProtection="0">
      <alignment horizontal="center" vertical="bottom"/>
    </xf>
    <xf numFmtId="0" fontId="0" borderId="48" applyNumberFormat="0" applyFont="1" applyFill="0" applyBorder="1" applyAlignment="1" applyProtection="0">
      <alignment vertical="bottom"/>
    </xf>
    <xf numFmtId="0" fontId="0" borderId="49" applyNumberFormat="0" applyFont="1" applyFill="0" applyBorder="1" applyAlignment="1" applyProtection="0">
      <alignment vertical="bottom"/>
    </xf>
    <xf numFmtId="0" fontId="0" borderId="50" applyNumberFormat="0" applyFont="1" applyFill="0" applyBorder="1" applyAlignment="1" applyProtection="0">
      <alignment vertical="bottom"/>
    </xf>
    <xf numFmtId="49" fontId="0" borderId="47" applyNumberFormat="1" applyFont="1" applyFill="0" applyBorder="1" applyAlignment="1" applyProtection="0">
      <alignment vertical="bottom"/>
    </xf>
    <xf numFmtId="49" fontId="0" borderId="39" applyNumberFormat="1" applyFont="1" applyFill="0" applyBorder="1" applyAlignment="1" applyProtection="0">
      <alignment horizontal="right" vertical="bottom"/>
    </xf>
    <xf numFmtId="49" fontId="0" borderId="48" applyNumberFormat="1" applyFont="1" applyFill="0" applyBorder="1" applyAlignment="1" applyProtection="0">
      <alignment horizontal="right" vertical="bottom"/>
    </xf>
    <xf numFmtId="49" fontId="0" borderId="50" applyNumberFormat="1" applyFont="1" applyFill="0" applyBorder="1" applyAlignment="1" applyProtection="0">
      <alignment vertical="bottom"/>
    </xf>
    <xf numFmtId="49" fontId="0" borderId="51" applyNumberFormat="1" applyFont="1" applyFill="0" applyBorder="1" applyAlignment="1" applyProtection="0">
      <alignment vertical="bottom"/>
    </xf>
    <xf numFmtId="0" fontId="0" borderId="48" applyNumberFormat="1" applyFont="1" applyFill="0" applyBorder="1" applyAlignment="1" applyProtection="0">
      <alignment vertical="bottom"/>
    </xf>
    <xf numFmtId="49" fontId="0" borderId="52" applyNumberFormat="1" applyFont="1" applyFill="0" applyBorder="1" applyAlignment="1" applyProtection="0">
      <alignment vertical="bottom"/>
    </xf>
    <xf numFmtId="0" fontId="0" fillId="8" borderId="5" applyNumberFormat="1" applyFont="1" applyFill="1" applyBorder="1" applyAlignment="1" applyProtection="0">
      <alignment vertical="bottom"/>
    </xf>
    <xf numFmtId="49" fontId="0" borderId="53" applyNumberFormat="1" applyFont="1" applyFill="0" applyBorder="1" applyAlignment="1" applyProtection="0">
      <alignment vertical="bottom"/>
    </xf>
    <xf numFmtId="0" fontId="0" borderId="54" applyNumberFormat="1" applyFont="1" applyFill="0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fillId="8" borderId="18" applyNumberFormat="1" applyFont="1" applyFill="1" applyBorder="1" applyAlignment="1" applyProtection="0">
      <alignment vertical="bottom"/>
    </xf>
    <xf numFmtId="49" fontId="0" borderId="55" applyNumberFormat="1" applyFont="1" applyFill="0" applyBorder="1" applyAlignment="1" applyProtection="0">
      <alignment vertical="bottom"/>
    </xf>
    <xf numFmtId="0" fontId="0" fillId="2" borderId="18" applyNumberFormat="1" applyFont="1" applyFill="1" applyBorder="1" applyAlignment="1" applyProtection="0">
      <alignment vertical="bottom"/>
    </xf>
    <xf numFmtId="0" fontId="0" borderId="56" applyNumberFormat="0" applyFont="1" applyFill="0" applyBorder="1" applyAlignment="1" applyProtection="0">
      <alignment vertical="bottom"/>
    </xf>
    <xf numFmtId="0" fontId="15" borderId="39" applyNumberFormat="0" applyFont="1" applyFill="0" applyBorder="1" applyAlignment="1" applyProtection="0">
      <alignment vertical="bottom"/>
    </xf>
    <xf numFmtId="0" fontId="15" borderId="56" applyNumberFormat="0" applyFont="1" applyFill="0" applyBorder="1" applyAlignment="1" applyProtection="0">
      <alignment vertical="bottom"/>
    </xf>
    <xf numFmtId="0" fontId="0" borderId="57" applyNumberFormat="0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borderId="58" applyNumberFormat="0" applyFont="1" applyFill="0" applyBorder="1" applyAlignment="1" applyProtection="0">
      <alignment vertical="bottom"/>
    </xf>
    <xf numFmtId="0" fontId="0" borderId="59" applyNumberFormat="0" applyFont="1" applyFill="0" applyBorder="1" applyAlignment="1" applyProtection="0">
      <alignment vertical="bottom"/>
    </xf>
    <xf numFmtId="49" fontId="0" borderId="60" applyNumberFormat="1" applyFont="1" applyFill="0" applyBorder="1" applyAlignment="1" applyProtection="0">
      <alignment vertical="bottom"/>
    </xf>
    <xf numFmtId="49" fontId="0" borderId="61" applyNumberFormat="1" applyFont="1" applyFill="0" applyBorder="1" applyAlignment="1" applyProtection="0">
      <alignment vertical="bottom"/>
    </xf>
    <xf numFmtId="0" fontId="0" borderId="61" applyNumberFormat="0" applyFont="1" applyFill="0" applyBorder="1" applyAlignment="1" applyProtection="0">
      <alignment vertical="bottom"/>
    </xf>
    <xf numFmtId="49" fontId="15" borderId="53" applyNumberFormat="1" applyFont="1" applyFill="0" applyBorder="1" applyAlignment="1" applyProtection="0">
      <alignment vertical="bottom"/>
    </xf>
    <xf numFmtId="0" fontId="0" borderId="62" applyNumberFormat="0" applyFont="1" applyFill="0" applyBorder="1" applyAlignment="1" applyProtection="0">
      <alignment vertical="bottom"/>
    </xf>
    <xf numFmtId="0" fontId="0" borderId="51" applyNumberFormat="0" applyFont="1" applyFill="0" applyBorder="1" applyAlignment="1" applyProtection="0">
      <alignment vertical="bottom"/>
    </xf>
    <xf numFmtId="0" fontId="15" borderId="53" applyNumberFormat="1" applyFont="1" applyFill="0" applyBorder="1" applyAlignment="1" applyProtection="0">
      <alignment vertical="bottom"/>
    </xf>
    <xf numFmtId="0" fontId="0" borderId="53" applyNumberFormat="1" applyFont="1" applyFill="0" applyBorder="1" applyAlignment="1" applyProtection="0">
      <alignment vertical="bottom"/>
    </xf>
    <xf numFmtId="49" fontId="0" borderId="63" applyNumberFormat="1" applyFont="1" applyFill="0" applyBorder="1" applyAlignment="1" applyProtection="0">
      <alignment vertical="bottom"/>
    </xf>
    <xf numFmtId="0" fontId="0" borderId="64" applyNumberFormat="1" applyFont="1" applyFill="0" applyBorder="1" applyAlignment="1" applyProtection="0">
      <alignment vertical="bottom"/>
    </xf>
    <xf numFmtId="0" fontId="0" borderId="52" applyNumberFormat="0" applyFont="1" applyFill="0" applyBorder="1" applyAlignment="1" applyProtection="0">
      <alignment vertical="bottom"/>
    </xf>
    <xf numFmtId="0" fontId="0" fillId="8" borderId="5" applyNumberFormat="0" applyFont="1" applyFill="1" applyBorder="1" applyAlignment="1" applyProtection="0">
      <alignment vertical="bottom"/>
    </xf>
    <xf numFmtId="0" fontId="0" borderId="53" applyNumberFormat="0" applyFont="1" applyFill="0" applyBorder="1" applyAlignment="1" applyProtection="0">
      <alignment vertical="bottom"/>
    </xf>
    <xf numFmtId="0" fontId="0" borderId="54" applyNumberFormat="0" applyFont="1" applyFill="0" applyBorder="1" applyAlignment="1" applyProtection="0">
      <alignment vertical="bottom"/>
    </xf>
    <xf numFmtId="0" fontId="0" borderId="65" applyNumberFormat="0" applyFont="1" applyFill="0" applyBorder="1" applyAlignment="1" applyProtection="0">
      <alignment vertical="bottom"/>
    </xf>
    <xf numFmtId="0" fontId="0" fillId="8" borderId="36" applyNumberFormat="1" applyFont="1" applyFill="1" applyBorder="1" applyAlignment="1" applyProtection="0">
      <alignment vertical="bottom"/>
    </xf>
    <xf numFmtId="0" fontId="0" fillId="2" borderId="36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8" borderId="6" applyNumberFormat="1" applyFont="1" applyFill="1" applyBorder="1" applyAlignment="1" applyProtection="0">
      <alignment vertical="bottom"/>
    </xf>
    <xf numFmtId="0" fontId="16" borderId="39" applyNumberFormat="1" applyFont="1" applyFill="0" applyBorder="1" applyAlignment="1" applyProtection="0">
      <alignment vertical="bottom"/>
    </xf>
    <xf numFmtId="49" fontId="0" fillId="9" borderId="5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aaaaa"/>
      <rgbColor rgb="ffffffff"/>
      <rgbColor rgb="ff2d4d6a"/>
      <rgbColor rgb="ffa6a6a6"/>
      <rgbColor rgb="fff2f2f2"/>
      <rgbColor rgb="ffbfbfbf"/>
      <rgbColor rgb="ff9cc2e5"/>
      <rgbColor rgb="ff333333"/>
      <rgbColor rgb="ffffcccc"/>
      <rgbColor rgb="ffbdd7ee"/>
      <rgbColor rgb="ffd8d8d8"/>
      <rgbColor rgb="fffff2cc"/>
      <rgbColor rgb="ff666666"/>
      <rgbColor rgb="ff464646"/>
      <rgbColor rgb="fff8cba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gif"/><Relationship Id="rId2" Type="http://schemas.openxmlformats.org/officeDocument/2006/relationships/hyperlink" Target="https://www.deutschlandtrikot.de/" TargetMode="External"/><Relationship Id="rId3" Type="http://schemas.openxmlformats.org/officeDocument/2006/relationships/image" Target="../media/image1.png"/><Relationship Id="rId4" Type="http://schemas.openxmlformats.org/officeDocument/2006/relationships/hyperlink" Target="https://www.fussballnationalmannschaft.net/" TargetMode="External"/><Relationship Id="rId5" Type="http://schemas.openxmlformats.org/officeDocument/2006/relationships/image" Target="../media/image2.png"/><Relationship Id="rId6" Type="http://schemas.openxmlformats.org/officeDocument/2006/relationships/hyperlink" Target="https://www.wmtrikots.info/" TargetMode="External"/><Relationship Id="rId7" Type="http://schemas.openxmlformats.org/officeDocument/2006/relationships/image" Target="../media/image3.png"/><Relationship Id="rId8" Type="http://schemas.openxmlformats.org/officeDocument/2006/relationships/image" Target="../media/image2.gif"/><Relationship Id="rId9" Type="http://schemas.openxmlformats.org/officeDocument/2006/relationships/image" Target="../media/image4.png"/><Relationship Id="rId10" Type="http://schemas.openxmlformats.org/officeDocument/2006/relationships/image" Target="../media/image5.png"/><Relationship Id="rId11" Type="http://schemas.openxmlformats.org/officeDocument/2006/relationships/image" Target="../media/image3.gif"/><Relationship Id="rId12" Type="http://schemas.openxmlformats.org/officeDocument/2006/relationships/image" Target="../media/image6.png"/><Relationship Id="rId13" Type="http://schemas.openxmlformats.org/officeDocument/2006/relationships/image" Target="../media/image7.png"/><Relationship Id="rId14" Type="http://schemas.openxmlformats.org/officeDocument/2006/relationships/image" Target="../media/image4.gif"/><Relationship Id="rId15" Type="http://schemas.openxmlformats.org/officeDocument/2006/relationships/image" Target="../media/image8.png"/><Relationship Id="rId16" Type="http://schemas.openxmlformats.org/officeDocument/2006/relationships/image" Target="../media/image5.gif"/><Relationship Id="rId17" Type="http://schemas.openxmlformats.org/officeDocument/2006/relationships/image" Target="../media/image6.gif"/><Relationship Id="rId18" Type="http://schemas.openxmlformats.org/officeDocument/2006/relationships/image" Target="../media/image9.png"/><Relationship Id="rId19" Type="http://schemas.openxmlformats.org/officeDocument/2006/relationships/image" Target="../media/image10.png"/><Relationship Id="rId20" Type="http://schemas.openxmlformats.org/officeDocument/2006/relationships/image" Target="../media/image11.png"/><Relationship Id="rId21" Type="http://schemas.openxmlformats.org/officeDocument/2006/relationships/image" Target="../media/image7.gif"/><Relationship Id="rId22" Type="http://schemas.openxmlformats.org/officeDocument/2006/relationships/image" Target="../media/image12.png"/><Relationship Id="rId23" Type="http://schemas.openxmlformats.org/officeDocument/2006/relationships/image" Target="../media/image13.png"/><Relationship Id="rId24" Type="http://schemas.openxmlformats.org/officeDocument/2006/relationships/image" Target="../media/image14.png"/><Relationship Id="rId25" Type="http://schemas.openxmlformats.org/officeDocument/2006/relationships/image" Target="../media/image15.png"/><Relationship Id="rId26" Type="http://schemas.openxmlformats.org/officeDocument/2006/relationships/image" Target="../media/image16.png"/><Relationship Id="rId27" Type="http://schemas.openxmlformats.org/officeDocument/2006/relationships/image" Target="../media/image8.gif"/><Relationship Id="rId28" Type="http://schemas.openxmlformats.org/officeDocument/2006/relationships/image" Target="../media/image9.gif"/><Relationship Id="rId29" Type="http://schemas.openxmlformats.org/officeDocument/2006/relationships/image" Target="../media/image17.png"/><Relationship Id="rId30" Type="http://schemas.openxmlformats.org/officeDocument/2006/relationships/image" Target="../media/image18.png"/><Relationship Id="rId31" Type="http://schemas.openxmlformats.org/officeDocument/2006/relationships/image" Target="../media/image10.gif"/><Relationship Id="rId32" Type="http://schemas.openxmlformats.org/officeDocument/2006/relationships/image" Target="../media/image11.gif"/><Relationship Id="rId33" Type="http://schemas.openxmlformats.org/officeDocument/2006/relationships/image" Target="../media/image19.png"/><Relationship Id="rId34" Type="http://schemas.openxmlformats.org/officeDocument/2006/relationships/image" Target="../media/image20.png"/><Relationship Id="rId35" Type="http://schemas.openxmlformats.org/officeDocument/2006/relationships/image" Target="../media/image21.png"/><Relationship Id="rId36" Type="http://schemas.openxmlformats.org/officeDocument/2006/relationships/image" Target="../media/image22.png"/><Relationship Id="rId37" Type="http://schemas.openxmlformats.org/officeDocument/2006/relationships/image" Target="../media/image23.png"/><Relationship Id="rId38" Type="http://schemas.openxmlformats.org/officeDocument/2006/relationships/image" Target="../media/image12.gif"/><Relationship Id="rId39" Type="http://schemas.openxmlformats.org/officeDocument/2006/relationships/hyperlink" Target="https://www.fussball-wm-2018.com/" TargetMode="External"/><Relationship Id="rId40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22</xdr:col>
      <xdr:colOff>0</xdr:colOff>
      <xdr:row>30</xdr:row>
      <xdr:rowOff>183846</xdr:rowOff>
    </xdr:from>
    <xdr:to>
      <xdr:col>22</xdr:col>
      <xdr:colOff>180978</xdr:colOff>
      <xdr:row>31</xdr:row>
      <xdr:rowOff>117174</xdr:rowOff>
    </xdr:to>
    <xdr:pic>
      <xdr:nvPicPr>
        <xdr:cNvPr id="2" name="Grafik 52" descr="Grafik 5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994900" y="7538416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33760</xdr:colOff>
      <xdr:row>94</xdr:row>
      <xdr:rowOff>187597</xdr:rowOff>
    </xdr:from>
    <xdr:to>
      <xdr:col>11</xdr:col>
      <xdr:colOff>368220</xdr:colOff>
      <xdr:row>97</xdr:row>
      <xdr:rowOff>120310</xdr:rowOff>
    </xdr:to>
    <xdr:pic>
      <xdr:nvPicPr>
        <xdr:cNvPr id="3" name="Grafik 73" descr="Grafik 73">
          <a:hlinkClick r:id="rId2" invalidUrl="" action="" tgtFrame="" tooltip="" history="1" highlightClick="0" endSnd="0"/>
        </xdr:cNvPr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51260" y="20427587"/>
          <a:ext cx="5008061" cy="6089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23</xdr:col>
      <xdr:colOff>205692</xdr:colOff>
      <xdr:row>92</xdr:row>
      <xdr:rowOff>172051</xdr:rowOff>
    </xdr:from>
    <xdr:to>
      <xdr:col>31</xdr:col>
      <xdr:colOff>237441</xdr:colOff>
      <xdr:row>96</xdr:row>
      <xdr:rowOff>238726</xdr:rowOff>
    </xdr:to>
    <xdr:pic>
      <xdr:nvPicPr>
        <xdr:cNvPr id="4" name="Grafik 74" descr="Grafik 74">
          <a:hlinkClick r:id="rId4" invalidUrl="" action="" tgtFrame="" tooltip="" history="1" highlightClick="0" endSnd="0"/>
        </xdr:cNvPr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10530792" y="20011990"/>
          <a:ext cx="3765550" cy="866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27</xdr:col>
      <xdr:colOff>308388</xdr:colOff>
      <xdr:row>96</xdr:row>
      <xdr:rowOff>193304</xdr:rowOff>
    </xdr:from>
    <xdr:to>
      <xdr:col>31</xdr:col>
      <xdr:colOff>321732</xdr:colOff>
      <xdr:row>98</xdr:row>
      <xdr:rowOff>185762</xdr:rowOff>
    </xdr:to>
    <xdr:pic>
      <xdr:nvPicPr>
        <xdr:cNvPr id="5" name="Picture 100" descr="Picture 100">
          <a:hlinkClick r:id="rId6" invalidUrl="" action="" tgtFrame="" tooltip="" history="1" highlightClick="0" endSnd="0"/>
        </xdr:cNvPr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12271788" y="20833343"/>
          <a:ext cx="2108845" cy="5449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13</xdr:row>
      <xdr:rowOff>7620</xdr:rowOff>
    </xdr:from>
    <xdr:to>
      <xdr:col>5</xdr:col>
      <xdr:colOff>180978</xdr:colOff>
      <xdr:row>13</xdr:row>
      <xdr:rowOff>131448</xdr:rowOff>
    </xdr:to>
    <xdr:pic>
      <xdr:nvPicPr>
        <xdr:cNvPr id="6" name="Grafik 42" descr="Grafik 42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2603500" y="3794125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14</xdr:row>
      <xdr:rowOff>7620</xdr:rowOff>
    </xdr:from>
    <xdr:to>
      <xdr:col>5</xdr:col>
      <xdr:colOff>187100</xdr:colOff>
      <xdr:row>14</xdr:row>
      <xdr:rowOff>135635</xdr:rowOff>
    </xdr:to>
    <xdr:pic>
      <xdr:nvPicPr>
        <xdr:cNvPr id="7" name="Picture 104" descr="Picture 104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2603500" y="3984625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7620</xdr:colOff>
      <xdr:row>15</xdr:row>
      <xdr:rowOff>7620</xdr:rowOff>
    </xdr:from>
    <xdr:to>
      <xdr:col>5</xdr:col>
      <xdr:colOff>188598</xdr:colOff>
      <xdr:row>15</xdr:row>
      <xdr:rowOff>131448</xdr:rowOff>
    </xdr:to>
    <xdr:pic>
      <xdr:nvPicPr>
        <xdr:cNvPr id="8" name="Grafik 42" descr="Grafik 42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2611120" y="4175125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7620</xdr:colOff>
      <xdr:row>16</xdr:row>
      <xdr:rowOff>0</xdr:rowOff>
    </xdr:from>
    <xdr:to>
      <xdr:col>5</xdr:col>
      <xdr:colOff>194719</xdr:colOff>
      <xdr:row>16</xdr:row>
      <xdr:rowOff>128015</xdr:rowOff>
    </xdr:to>
    <xdr:pic>
      <xdr:nvPicPr>
        <xdr:cNvPr id="9" name="Picture 106" descr="Picture 106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2611120" y="4358004"/>
          <a:ext cx="187100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152400</xdr:colOff>
      <xdr:row>48</xdr:row>
      <xdr:rowOff>2540</xdr:rowOff>
    </xdr:from>
    <xdr:to>
      <xdr:col>11</xdr:col>
      <xdr:colOff>333378</xdr:colOff>
      <xdr:row>48</xdr:row>
      <xdr:rowOff>126368</xdr:rowOff>
    </xdr:to>
    <xdr:pic>
      <xdr:nvPicPr>
        <xdr:cNvPr id="10" name="Grafik 31" descr="Grafik 3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5143500" y="110909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17</xdr:row>
      <xdr:rowOff>7620</xdr:rowOff>
    </xdr:from>
    <xdr:to>
      <xdr:col>5</xdr:col>
      <xdr:colOff>187100</xdr:colOff>
      <xdr:row>17</xdr:row>
      <xdr:rowOff>135635</xdr:rowOff>
    </xdr:to>
    <xdr:pic>
      <xdr:nvPicPr>
        <xdr:cNvPr id="11" name="Picture 108" descr="Picture 108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2603500" y="4556125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7620</xdr:colOff>
      <xdr:row>18</xdr:row>
      <xdr:rowOff>17779</xdr:rowOff>
    </xdr:from>
    <xdr:to>
      <xdr:col>5</xdr:col>
      <xdr:colOff>194719</xdr:colOff>
      <xdr:row>18</xdr:row>
      <xdr:rowOff>145796</xdr:rowOff>
    </xdr:to>
    <xdr:pic>
      <xdr:nvPicPr>
        <xdr:cNvPr id="12" name="Picture 109" descr="Picture 109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2611120" y="4769484"/>
          <a:ext cx="187100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13</xdr:row>
      <xdr:rowOff>7620</xdr:rowOff>
    </xdr:from>
    <xdr:to>
      <xdr:col>22</xdr:col>
      <xdr:colOff>187100</xdr:colOff>
      <xdr:row>13</xdr:row>
      <xdr:rowOff>135635</xdr:rowOff>
    </xdr:to>
    <xdr:pic>
      <xdr:nvPicPr>
        <xdr:cNvPr id="13" name="Picture 110" descr="Picture 110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9994900" y="3794125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4043</xdr:colOff>
      <xdr:row>14</xdr:row>
      <xdr:rowOff>5598</xdr:rowOff>
    </xdr:from>
    <xdr:to>
      <xdr:col>22</xdr:col>
      <xdr:colOff>185021</xdr:colOff>
      <xdr:row>14</xdr:row>
      <xdr:rowOff>129426</xdr:rowOff>
    </xdr:to>
    <xdr:pic>
      <xdr:nvPicPr>
        <xdr:cNvPr id="14" name="Grafik 94" descr="Grafik 94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9998943" y="3982603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4043</xdr:colOff>
      <xdr:row>15</xdr:row>
      <xdr:rowOff>5598</xdr:rowOff>
    </xdr:from>
    <xdr:to>
      <xdr:col>22</xdr:col>
      <xdr:colOff>185021</xdr:colOff>
      <xdr:row>15</xdr:row>
      <xdr:rowOff>129426</xdr:rowOff>
    </xdr:to>
    <xdr:pic>
      <xdr:nvPicPr>
        <xdr:cNvPr id="15" name="Grafik 94" descr="Grafik 94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9998943" y="4173103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5781</xdr:colOff>
      <xdr:row>16</xdr:row>
      <xdr:rowOff>2235</xdr:rowOff>
    </xdr:from>
    <xdr:to>
      <xdr:col>22</xdr:col>
      <xdr:colOff>192881</xdr:colOff>
      <xdr:row>16</xdr:row>
      <xdr:rowOff>130250</xdr:rowOff>
    </xdr:to>
    <xdr:pic>
      <xdr:nvPicPr>
        <xdr:cNvPr id="16" name="Picture 114" descr="Picture 114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10000681" y="4360240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6047</xdr:colOff>
      <xdr:row>17</xdr:row>
      <xdr:rowOff>202600</xdr:rowOff>
    </xdr:from>
    <xdr:to>
      <xdr:col>22</xdr:col>
      <xdr:colOff>187025</xdr:colOff>
      <xdr:row>18</xdr:row>
      <xdr:rowOff>123228</xdr:rowOff>
    </xdr:to>
    <xdr:pic>
      <xdr:nvPicPr>
        <xdr:cNvPr id="17" name="Grafik 49" descr="Grafik 49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10000947" y="4751104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6047</xdr:colOff>
      <xdr:row>17</xdr:row>
      <xdr:rowOff>6048</xdr:rowOff>
    </xdr:from>
    <xdr:to>
      <xdr:col>22</xdr:col>
      <xdr:colOff>193147</xdr:colOff>
      <xdr:row>17</xdr:row>
      <xdr:rowOff>134063</xdr:rowOff>
    </xdr:to>
    <xdr:pic>
      <xdr:nvPicPr>
        <xdr:cNvPr id="18" name="Picture 116" descr="Picture 116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10000947" y="4554553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29</xdr:row>
      <xdr:rowOff>187325</xdr:rowOff>
    </xdr:from>
    <xdr:to>
      <xdr:col>5</xdr:col>
      <xdr:colOff>180978</xdr:colOff>
      <xdr:row>30</xdr:row>
      <xdr:rowOff>111128</xdr:rowOff>
    </xdr:to>
    <xdr:pic>
      <xdr:nvPicPr>
        <xdr:cNvPr id="19" name="Grafik 27" descr="Grafik 27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2603500" y="73418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30</xdr:row>
      <xdr:rowOff>177800</xdr:rowOff>
    </xdr:from>
    <xdr:to>
      <xdr:col>5</xdr:col>
      <xdr:colOff>187100</xdr:colOff>
      <xdr:row>31</xdr:row>
      <xdr:rowOff>115316</xdr:rowOff>
    </xdr:to>
    <xdr:pic>
      <xdr:nvPicPr>
        <xdr:cNvPr id="20" name="Picture 122" descr="Picture 122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2603500" y="75323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34</xdr:row>
      <xdr:rowOff>168727</xdr:rowOff>
    </xdr:from>
    <xdr:to>
      <xdr:col>5</xdr:col>
      <xdr:colOff>182164</xdr:colOff>
      <xdr:row>35</xdr:row>
      <xdr:rowOff>113196</xdr:rowOff>
    </xdr:to>
    <xdr:pic>
      <xdr:nvPicPr>
        <xdr:cNvPr id="21" name="Picture 123" descr="Picture 123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2603500" y="8285297"/>
          <a:ext cx="182165" cy="134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33</xdr:row>
      <xdr:rowOff>177800</xdr:rowOff>
    </xdr:from>
    <xdr:to>
      <xdr:col>5</xdr:col>
      <xdr:colOff>187100</xdr:colOff>
      <xdr:row>34</xdr:row>
      <xdr:rowOff>115316</xdr:rowOff>
    </xdr:to>
    <xdr:pic>
      <xdr:nvPicPr>
        <xdr:cNvPr id="22" name="Picture 127" descr="Picture 127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2603500" y="81038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32</xdr:row>
      <xdr:rowOff>177800</xdr:rowOff>
    </xdr:from>
    <xdr:to>
      <xdr:col>5</xdr:col>
      <xdr:colOff>180978</xdr:colOff>
      <xdr:row>33</xdr:row>
      <xdr:rowOff>111128</xdr:rowOff>
    </xdr:to>
    <xdr:pic>
      <xdr:nvPicPr>
        <xdr:cNvPr id="23" name="Grafik 27" descr="Grafik 27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2603500" y="79133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31</xdr:row>
      <xdr:rowOff>177800</xdr:rowOff>
    </xdr:from>
    <xdr:to>
      <xdr:col>5</xdr:col>
      <xdr:colOff>187100</xdr:colOff>
      <xdr:row>32</xdr:row>
      <xdr:rowOff>115316</xdr:rowOff>
    </xdr:to>
    <xdr:pic>
      <xdr:nvPicPr>
        <xdr:cNvPr id="24" name="Picture 129" descr="Picture 129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2603500" y="77228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34</xdr:row>
      <xdr:rowOff>168727</xdr:rowOff>
    </xdr:from>
    <xdr:to>
      <xdr:col>22</xdr:col>
      <xdr:colOff>180978</xdr:colOff>
      <xdr:row>35</xdr:row>
      <xdr:rowOff>102055</xdr:rowOff>
    </xdr:to>
    <xdr:pic>
      <xdr:nvPicPr>
        <xdr:cNvPr id="25" name="Grafik 98" descr="Grafik 98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9994900" y="8285297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29</xdr:row>
      <xdr:rowOff>187325</xdr:rowOff>
    </xdr:from>
    <xdr:to>
      <xdr:col>22</xdr:col>
      <xdr:colOff>187100</xdr:colOff>
      <xdr:row>30</xdr:row>
      <xdr:rowOff>115316</xdr:rowOff>
    </xdr:to>
    <xdr:pic>
      <xdr:nvPicPr>
        <xdr:cNvPr id="26" name="Picture 132" descr="Picture 132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9994900" y="73418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32</xdr:row>
      <xdr:rowOff>177800</xdr:rowOff>
    </xdr:from>
    <xdr:to>
      <xdr:col>22</xdr:col>
      <xdr:colOff>187100</xdr:colOff>
      <xdr:row>33</xdr:row>
      <xdr:rowOff>115316</xdr:rowOff>
    </xdr:to>
    <xdr:pic>
      <xdr:nvPicPr>
        <xdr:cNvPr id="27" name="Picture 134" descr="Picture 134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9994900" y="79133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33</xdr:row>
      <xdr:rowOff>177800</xdr:rowOff>
    </xdr:from>
    <xdr:to>
      <xdr:col>22</xdr:col>
      <xdr:colOff>187100</xdr:colOff>
      <xdr:row>34</xdr:row>
      <xdr:rowOff>115316</xdr:rowOff>
    </xdr:to>
    <xdr:pic>
      <xdr:nvPicPr>
        <xdr:cNvPr id="28" name="Picture 135" descr="Picture 135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9994900" y="81038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31</xdr:row>
      <xdr:rowOff>177800</xdr:rowOff>
    </xdr:from>
    <xdr:to>
      <xdr:col>22</xdr:col>
      <xdr:colOff>187100</xdr:colOff>
      <xdr:row>32</xdr:row>
      <xdr:rowOff>115316</xdr:rowOff>
    </xdr:to>
    <xdr:pic>
      <xdr:nvPicPr>
        <xdr:cNvPr id="29" name="Picture 136" descr="Picture 136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9994900" y="77228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46</xdr:row>
      <xdr:rowOff>177800</xdr:rowOff>
    </xdr:from>
    <xdr:to>
      <xdr:col>5</xdr:col>
      <xdr:colOff>187100</xdr:colOff>
      <xdr:row>47</xdr:row>
      <xdr:rowOff>115316</xdr:rowOff>
    </xdr:to>
    <xdr:pic>
      <xdr:nvPicPr>
        <xdr:cNvPr id="30" name="Picture 140" descr="Picture 140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2603500" y="10885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51</xdr:row>
      <xdr:rowOff>177800</xdr:rowOff>
    </xdr:from>
    <xdr:to>
      <xdr:col>5</xdr:col>
      <xdr:colOff>180978</xdr:colOff>
      <xdr:row>52</xdr:row>
      <xdr:rowOff>111128</xdr:rowOff>
    </xdr:to>
    <xdr:pic>
      <xdr:nvPicPr>
        <xdr:cNvPr id="31" name="Grafik 31" descr="Grafik 3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2603500" y="11837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47</xdr:row>
      <xdr:rowOff>177800</xdr:rowOff>
    </xdr:from>
    <xdr:to>
      <xdr:col>5</xdr:col>
      <xdr:colOff>187100</xdr:colOff>
      <xdr:row>48</xdr:row>
      <xdr:rowOff>115316</xdr:rowOff>
    </xdr:to>
    <xdr:pic>
      <xdr:nvPicPr>
        <xdr:cNvPr id="32" name="Picture 144" descr="Picture 144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2603500" y="110756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48</xdr:row>
      <xdr:rowOff>177800</xdr:rowOff>
    </xdr:from>
    <xdr:to>
      <xdr:col>5</xdr:col>
      <xdr:colOff>187100</xdr:colOff>
      <xdr:row>49</xdr:row>
      <xdr:rowOff>115316</xdr:rowOff>
    </xdr:to>
    <xdr:pic>
      <xdr:nvPicPr>
        <xdr:cNvPr id="33" name="Picture 145" descr="Picture 145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2603500" y="11266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49</xdr:row>
      <xdr:rowOff>177800</xdr:rowOff>
    </xdr:from>
    <xdr:to>
      <xdr:col>5</xdr:col>
      <xdr:colOff>187100</xdr:colOff>
      <xdr:row>50</xdr:row>
      <xdr:rowOff>115316</xdr:rowOff>
    </xdr:to>
    <xdr:pic>
      <xdr:nvPicPr>
        <xdr:cNvPr id="34" name="Picture 147" descr="Picture 147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2603500" y="114566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50</xdr:row>
      <xdr:rowOff>168727</xdr:rowOff>
    </xdr:from>
    <xdr:to>
      <xdr:col>5</xdr:col>
      <xdr:colOff>187100</xdr:colOff>
      <xdr:row>51</xdr:row>
      <xdr:rowOff>115316</xdr:rowOff>
    </xdr:to>
    <xdr:pic>
      <xdr:nvPicPr>
        <xdr:cNvPr id="35" name="Picture 148" descr="Picture 148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2603500" y="11638097"/>
          <a:ext cx="187101" cy="1370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47</xdr:row>
      <xdr:rowOff>177800</xdr:rowOff>
    </xdr:from>
    <xdr:to>
      <xdr:col>22</xdr:col>
      <xdr:colOff>180978</xdr:colOff>
      <xdr:row>48</xdr:row>
      <xdr:rowOff>111128</xdr:rowOff>
    </xdr:to>
    <xdr:pic>
      <xdr:nvPicPr>
        <xdr:cNvPr id="36" name="Grafik 93" descr="Grafik 93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9994900" y="11075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46</xdr:row>
      <xdr:rowOff>177800</xdr:rowOff>
    </xdr:from>
    <xdr:to>
      <xdr:col>22</xdr:col>
      <xdr:colOff>180978</xdr:colOff>
      <xdr:row>47</xdr:row>
      <xdr:rowOff>111128</xdr:rowOff>
    </xdr:to>
    <xdr:pic>
      <xdr:nvPicPr>
        <xdr:cNvPr id="37" name="Grafik 36" descr="Grafik 36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9994900" y="108851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49</xdr:row>
      <xdr:rowOff>177800</xdr:rowOff>
    </xdr:from>
    <xdr:to>
      <xdr:col>22</xdr:col>
      <xdr:colOff>180978</xdr:colOff>
      <xdr:row>50</xdr:row>
      <xdr:rowOff>111128</xdr:rowOff>
    </xdr:to>
    <xdr:pic>
      <xdr:nvPicPr>
        <xdr:cNvPr id="38" name="Grafik 36" descr="Grafik 36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9994900" y="11456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51</xdr:row>
      <xdr:rowOff>177800</xdr:rowOff>
    </xdr:from>
    <xdr:to>
      <xdr:col>22</xdr:col>
      <xdr:colOff>188259</xdr:colOff>
      <xdr:row>52</xdr:row>
      <xdr:rowOff>116109</xdr:rowOff>
    </xdr:to>
    <xdr:pic>
      <xdr:nvPicPr>
        <xdr:cNvPr id="39" name="Picture 152" descr="Picture 152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9994900" y="11837669"/>
          <a:ext cx="188260" cy="1288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48</xdr:row>
      <xdr:rowOff>177800</xdr:rowOff>
    </xdr:from>
    <xdr:to>
      <xdr:col>22</xdr:col>
      <xdr:colOff>187100</xdr:colOff>
      <xdr:row>49</xdr:row>
      <xdr:rowOff>115316</xdr:rowOff>
    </xdr:to>
    <xdr:pic>
      <xdr:nvPicPr>
        <xdr:cNvPr id="40" name="Picture 154" descr="Picture 154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9994900" y="11266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50</xdr:row>
      <xdr:rowOff>168727</xdr:rowOff>
    </xdr:from>
    <xdr:to>
      <xdr:col>22</xdr:col>
      <xdr:colOff>187100</xdr:colOff>
      <xdr:row>51</xdr:row>
      <xdr:rowOff>115316</xdr:rowOff>
    </xdr:to>
    <xdr:pic>
      <xdr:nvPicPr>
        <xdr:cNvPr id="41" name="Picture 155" descr="Picture 155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9994900" y="11638097"/>
          <a:ext cx="187101" cy="1370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63</xdr:row>
      <xdr:rowOff>177800</xdr:rowOff>
    </xdr:from>
    <xdr:to>
      <xdr:col>5</xdr:col>
      <xdr:colOff>180978</xdr:colOff>
      <xdr:row>64</xdr:row>
      <xdr:rowOff>111128</xdr:rowOff>
    </xdr:to>
    <xdr:pic>
      <xdr:nvPicPr>
        <xdr:cNvPr id="42" name="Grafik 83" descr="Grafik 83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2603500" y="143141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65</xdr:row>
      <xdr:rowOff>177800</xdr:rowOff>
    </xdr:from>
    <xdr:to>
      <xdr:col>5</xdr:col>
      <xdr:colOff>180978</xdr:colOff>
      <xdr:row>66</xdr:row>
      <xdr:rowOff>111128</xdr:rowOff>
    </xdr:to>
    <xdr:pic>
      <xdr:nvPicPr>
        <xdr:cNvPr id="43" name="Grafik 83" descr="Grafik 83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2603500" y="146951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66</xdr:row>
      <xdr:rowOff>177800</xdr:rowOff>
    </xdr:from>
    <xdr:to>
      <xdr:col>5</xdr:col>
      <xdr:colOff>180978</xdr:colOff>
      <xdr:row>67</xdr:row>
      <xdr:rowOff>111128</xdr:rowOff>
    </xdr:to>
    <xdr:pic>
      <xdr:nvPicPr>
        <xdr:cNvPr id="44" name="Grafik 41" descr="Grafik 4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2603500" y="14885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67</xdr:row>
      <xdr:rowOff>177800</xdr:rowOff>
    </xdr:from>
    <xdr:to>
      <xdr:col>5</xdr:col>
      <xdr:colOff>180978</xdr:colOff>
      <xdr:row>68</xdr:row>
      <xdr:rowOff>111128</xdr:rowOff>
    </xdr:to>
    <xdr:pic>
      <xdr:nvPicPr>
        <xdr:cNvPr id="45" name="Grafik 41" descr="Grafik 4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2603500" y="150761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68</xdr:row>
      <xdr:rowOff>177800</xdr:rowOff>
    </xdr:from>
    <xdr:to>
      <xdr:col>5</xdr:col>
      <xdr:colOff>187100</xdr:colOff>
      <xdr:row>69</xdr:row>
      <xdr:rowOff>115315</xdr:rowOff>
    </xdr:to>
    <xdr:pic>
      <xdr:nvPicPr>
        <xdr:cNvPr id="46" name="Picture 124" descr="Picture 124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2603500" y="152666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64</xdr:row>
      <xdr:rowOff>177800</xdr:rowOff>
    </xdr:from>
    <xdr:to>
      <xdr:col>5</xdr:col>
      <xdr:colOff>187100</xdr:colOff>
      <xdr:row>65</xdr:row>
      <xdr:rowOff>115315</xdr:rowOff>
    </xdr:to>
    <xdr:pic>
      <xdr:nvPicPr>
        <xdr:cNvPr id="47" name="Picture 126" descr="Picture 126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2603500" y="145046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63</xdr:row>
      <xdr:rowOff>177800</xdr:rowOff>
    </xdr:from>
    <xdr:to>
      <xdr:col>22</xdr:col>
      <xdr:colOff>187100</xdr:colOff>
      <xdr:row>64</xdr:row>
      <xdr:rowOff>115315</xdr:rowOff>
    </xdr:to>
    <xdr:pic>
      <xdr:nvPicPr>
        <xdr:cNvPr id="48" name="Picture 133" descr="Picture 1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9994900" y="14314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65</xdr:row>
      <xdr:rowOff>177800</xdr:rowOff>
    </xdr:from>
    <xdr:to>
      <xdr:col>22</xdr:col>
      <xdr:colOff>187100</xdr:colOff>
      <xdr:row>66</xdr:row>
      <xdr:rowOff>115315</xdr:rowOff>
    </xdr:to>
    <xdr:pic>
      <xdr:nvPicPr>
        <xdr:cNvPr id="49" name="Picture 138" descr="Picture 138"/>
        <xdr:cNvPicPr>
          <a:picLocks noChangeAspect="1"/>
        </xdr:cNvPicPr>
      </xdr:nvPicPr>
      <xdr:blipFill>
        <a:blip r:embed="rId36">
          <a:extLst/>
        </a:blip>
        <a:stretch>
          <a:fillRect/>
        </a:stretch>
      </xdr:blipFill>
      <xdr:spPr>
        <a:xfrm>
          <a:off x="9994900" y="14695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67</xdr:row>
      <xdr:rowOff>177800</xdr:rowOff>
    </xdr:from>
    <xdr:to>
      <xdr:col>22</xdr:col>
      <xdr:colOff>187100</xdr:colOff>
      <xdr:row>68</xdr:row>
      <xdr:rowOff>115315</xdr:rowOff>
    </xdr:to>
    <xdr:pic>
      <xdr:nvPicPr>
        <xdr:cNvPr id="50" name="Picture 139" descr="Picture 139"/>
        <xdr:cNvPicPr>
          <a:picLocks noChangeAspect="1"/>
        </xdr:cNvPicPr>
      </xdr:nvPicPr>
      <xdr:blipFill>
        <a:blip r:embed="rId36">
          <a:extLst/>
        </a:blip>
        <a:stretch>
          <a:fillRect/>
        </a:stretch>
      </xdr:blipFill>
      <xdr:spPr>
        <a:xfrm>
          <a:off x="9994900" y="150761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68</xdr:row>
      <xdr:rowOff>177800</xdr:rowOff>
    </xdr:from>
    <xdr:to>
      <xdr:col>22</xdr:col>
      <xdr:colOff>187100</xdr:colOff>
      <xdr:row>69</xdr:row>
      <xdr:rowOff>115315</xdr:rowOff>
    </xdr:to>
    <xdr:pic>
      <xdr:nvPicPr>
        <xdr:cNvPr id="51" name="Picture 146" descr="Picture 146"/>
        <xdr:cNvPicPr>
          <a:picLocks noChangeAspect="1"/>
        </xdr:cNvPicPr>
      </xdr:nvPicPr>
      <xdr:blipFill>
        <a:blip r:embed="rId37">
          <a:extLst/>
        </a:blip>
        <a:stretch>
          <a:fillRect/>
        </a:stretch>
      </xdr:blipFill>
      <xdr:spPr>
        <a:xfrm>
          <a:off x="9994900" y="1526666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66</xdr:row>
      <xdr:rowOff>177800</xdr:rowOff>
    </xdr:from>
    <xdr:to>
      <xdr:col>22</xdr:col>
      <xdr:colOff>180978</xdr:colOff>
      <xdr:row>67</xdr:row>
      <xdr:rowOff>111128</xdr:rowOff>
    </xdr:to>
    <xdr:pic>
      <xdr:nvPicPr>
        <xdr:cNvPr id="52" name="Grafik 149" descr="Grafik 149"/>
        <xdr:cNvPicPr>
          <a:picLocks noChangeAspect="1"/>
        </xdr:cNvPicPr>
      </xdr:nvPicPr>
      <xdr:blipFill>
        <a:blip r:embed="rId38">
          <a:extLst/>
        </a:blip>
        <a:stretch>
          <a:fillRect/>
        </a:stretch>
      </xdr:blipFill>
      <xdr:spPr>
        <a:xfrm>
          <a:off x="9994900" y="14885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22</xdr:col>
      <xdr:colOff>0</xdr:colOff>
      <xdr:row>64</xdr:row>
      <xdr:rowOff>177800</xdr:rowOff>
    </xdr:from>
    <xdr:to>
      <xdr:col>22</xdr:col>
      <xdr:colOff>180978</xdr:colOff>
      <xdr:row>65</xdr:row>
      <xdr:rowOff>111128</xdr:rowOff>
    </xdr:to>
    <xdr:pic>
      <xdr:nvPicPr>
        <xdr:cNvPr id="53" name="Grafik 149" descr="Grafik 149"/>
        <xdr:cNvPicPr>
          <a:picLocks noChangeAspect="1"/>
        </xdr:cNvPicPr>
      </xdr:nvPicPr>
      <xdr:blipFill>
        <a:blip r:embed="rId38">
          <a:extLst/>
        </a:blip>
        <a:stretch>
          <a:fillRect/>
        </a:stretch>
      </xdr:blipFill>
      <xdr:spPr>
        <a:xfrm>
          <a:off x="9994900" y="1450466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198120</xdr:colOff>
      <xdr:row>13</xdr:row>
      <xdr:rowOff>7620</xdr:rowOff>
    </xdr:from>
    <xdr:to>
      <xdr:col>11</xdr:col>
      <xdr:colOff>385219</xdr:colOff>
      <xdr:row>13</xdr:row>
      <xdr:rowOff>135635</xdr:rowOff>
    </xdr:to>
    <xdr:pic>
      <xdr:nvPicPr>
        <xdr:cNvPr id="54" name="Picture 157" descr="Picture 157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5189220" y="379412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198120</xdr:colOff>
      <xdr:row>16</xdr:row>
      <xdr:rowOff>15240</xdr:rowOff>
    </xdr:from>
    <xdr:to>
      <xdr:col>11</xdr:col>
      <xdr:colOff>385219</xdr:colOff>
      <xdr:row>16</xdr:row>
      <xdr:rowOff>143255</xdr:rowOff>
    </xdr:to>
    <xdr:pic>
      <xdr:nvPicPr>
        <xdr:cNvPr id="55" name="Picture 158" descr="Picture 158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5189220" y="43732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205740</xdr:colOff>
      <xdr:row>14</xdr:row>
      <xdr:rowOff>15240</xdr:rowOff>
    </xdr:from>
    <xdr:to>
      <xdr:col>11</xdr:col>
      <xdr:colOff>392839</xdr:colOff>
      <xdr:row>14</xdr:row>
      <xdr:rowOff>143255</xdr:rowOff>
    </xdr:to>
    <xdr:pic>
      <xdr:nvPicPr>
        <xdr:cNvPr id="56" name="Picture 159" descr="Picture 159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5196840" y="39922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205740</xdr:colOff>
      <xdr:row>15</xdr:row>
      <xdr:rowOff>15240</xdr:rowOff>
    </xdr:from>
    <xdr:to>
      <xdr:col>11</xdr:col>
      <xdr:colOff>392839</xdr:colOff>
      <xdr:row>15</xdr:row>
      <xdr:rowOff>143255</xdr:rowOff>
    </xdr:to>
    <xdr:pic>
      <xdr:nvPicPr>
        <xdr:cNvPr id="57" name="Picture 160" descr="Picture 160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5196840" y="41827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198120</xdr:colOff>
      <xdr:row>18</xdr:row>
      <xdr:rowOff>2540</xdr:rowOff>
    </xdr:from>
    <xdr:to>
      <xdr:col>11</xdr:col>
      <xdr:colOff>385219</xdr:colOff>
      <xdr:row>18</xdr:row>
      <xdr:rowOff>130555</xdr:rowOff>
    </xdr:to>
    <xdr:pic>
      <xdr:nvPicPr>
        <xdr:cNvPr id="58" name="Picture 161" descr="Picture 161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5189220" y="47542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205740</xdr:colOff>
      <xdr:row>17</xdr:row>
      <xdr:rowOff>15240</xdr:rowOff>
    </xdr:from>
    <xdr:to>
      <xdr:col>11</xdr:col>
      <xdr:colOff>386718</xdr:colOff>
      <xdr:row>17</xdr:row>
      <xdr:rowOff>139068</xdr:rowOff>
    </xdr:to>
    <xdr:pic>
      <xdr:nvPicPr>
        <xdr:cNvPr id="59" name="Grafik 42" descr="Grafik 42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5196840" y="4563745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266700</xdr:colOff>
      <xdr:row>13</xdr:row>
      <xdr:rowOff>22859</xdr:rowOff>
    </xdr:from>
    <xdr:to>
      <xdr:col>28</xdr:col>
      <xdr:colOff>453800</xdr:colOff>
      <xdr:row>13</xdr:row>
      <xdr:rowOff>150876</xdr:rowOff>
    </xdr:to>
    <xdr:pic>
      <xdr:nvPicPr>
        <xdr:cNvPr id="60" name="Picture 163" descr="Picture 163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12649200" y="3809364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266700</xdr:colOff>
      <xdr:row>14</xdr:row>
      <xdr:rowOff>22859</xdr:rowOff>
    </xdr:from>
    <xdr:to>
      <xdr:col>28</xdr:col>
      <xdr:colOff>447678</xdr:colOff>
      <xdr:row>14</xdr:row>
      <xdr:rowOff>146687</xdr:rowOff>
    </xdr:to>
    <xdr:pic>
      <xdr:nvPicPr>
        <xdr:cNvPr id="61" name="Grafik 49" descr="Grafik 49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12649200" y="3999864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259080</xdr:colOff>
      <xdr:row>15</xdr:row>
      <xdr:rowOff>15240</xdr:rowOff>
    </xdr:from>
    <xdr:to>
      <xdr:col>28</xdr:col>
      <xdr:colOff>446179</xdr:colOff>
      <xdr:row>15</xdr:row>
      <xdr:rowOff>143255</xdr:rowOff>
    </xdr:to>
    <xdr:pic>
      <xdr:nvPicPr>
        <xdr:cNvPr id="62" name="Picture 165" descr="Picture 165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12641580" y="41827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259080</xdr:colOff>
      <xdr:row>16</xdr:row>
      <xdr:rowOff>15240</xdr:rowOff>
    </xdr:from>
    <xdr:to>
      <xdr:col>28</xdr:col>
      <xdr:colOff>440058</xdr:colOff>
      <xdr:row>16</xdr:row>
      <xdr:rowOff>139068</xdr:rowOff>
    </xdr:to>
    <xdr:pic>
      <xdr:nvPicPr>
        <xdr:cNvPr id="63" name="Grafik 49" descr="Grafik 49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12641580" y="4373245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266700</xdr:colOff>
      <xdr:row>17</xdr:row>
      <xdr:rowOff>15240</xdr:rowOff>
    </xdr:from>
    <xdr:to>
      <xdr:col>28</xdr:col>
      <xdr:colOff>447678</xdr:colOff>
      <xdr:row>17</xdr:row>
      <xdr:rowOff>139068</xdr:rowOff>
    </xdr:to>
    <xdr:pic>
      <xdr:nvPicPr>
        <xdr:cNvPr id="64" name="Grafik 94" descr="Grafik 94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12649200" y="4563745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259080</xdr:colOff>
      <xdr:row>18</xdr:row>
      <xdr:rowOff>2540</xdr:rowOff>
    </xdr:from>
    <xdr:to>
      <xdr:col>28</xdr:col>
      <xdr:colOff>446179</xdr:colOff>
      <xdr:row>18</xdr:row>
      <xdr:rowOff>130555</xdr:rowOff>
    </xdr:to>
    <xdr:pic>
      <xdr:nvPicPr>
        <xdr:cNvPr id="65" name="Picture 168" descr="Picture 168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12641580" y="4754245"/>
          <a:ext cx="187100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160020</xdr:colOff>
      <xdr:row>30</xdr:row>
      <xdr:rowOff>2540</xdr:rowOff>
    </xdr:from>
    <xdr:to>
      <xdr:col>11</xdr:col>
      <xdr:colOff>342184</xdr:colOff>
      <xdr:row>30</xdr:row>
      <xdr:rowOff>129888</xdr:rowOff>
    </xdr:to>
    <xdr:pic>
      <xdr:nvPicPr>
        <xdr:cNvPr id="66" name="Picture 169" descr="Picture 169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5151120" y="7357109"/>
          <a:ext cx="182165" cy="127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162681</xdr:colOff>
      <xdr:row>30</xdr:row>
      <xdr:rowOff>183122</xdr:rowOff>
    </xdr:from>
    <xdr:to>
      <xdr:col>11</xdr:col>
      <xdr:colOff>349780</xdr:colOff>
      <xdr:row>31</xdr:row>
      <xdr:rowOff>120638</xdr:rowOff>
    </xdr:to>
    <xdr:pic>
      <xdr:nvPicPr>
        <xdr:cNvPr id="67" name="Picture 170" descr="Picture 170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5153781" y="7537691"/>
          <a:ext cx="187100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175259</xdr:colOff>
      <xdr:row>32</xdr:row>
      <xdr:rowOff>2540</xdr:rowOff>
    </xdr:from>
    <xdr:to>
      <xdr:col>11</xdr:col>
      <xdr:colOff>357423</xdr:colOff>
      <xdr:row>32</xdr:row>
      <xdr:rowOff>129888</xdr:rowOff>
    </xdr:to>
    <xdr:pic>
      <xdr:nvPicPr>
        <xdr:cNvPr id="68" name="Picture 171" descr="Picture 17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5166359" y="7738109"/>
          <a:ext cx="182165" cy="127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175259</xdr:colOff>
      <xdr:row>32</xdr:row>
      <xdr:rowOff>185419</xdr:rowOff>
    </xdr:from>
    <xdr:to>
      <xdr:col>11</xdr:col>
      <xdr:colOff>362360</xdr:colOff>
      <xdr:row>33</xdr:row>
      <xdr:rowOff>122935</xdr:rowOff>
    </xdr:to>
    <xdr:pic>
      <xdr:nvPicPr>
        <xdr:cNvPr id="69" name="Picture 172" descr="Picture 172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5166359" y="7920989"/>
          <a:ext cx="187102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167640</xdr:colOff>
      <xdr:row>33</xdr:row>
      <xdr:rowOff>185419</xdr:rowOff>
    </xdr:from>
    <xdr:to>
      <xdr:col>11</xdr:col>
      <xdr:colOff>348618</xdr:colOff>
      <xdr:row>34</xdr:row>
      <xdr:rowOff>118747</xdr:rowOff>
    </xdr:to>
    <xdr:pic>
      <xdr:nvPicPr>
        <xdr:cNvPr id="70" name="Grafik 27" descr="Grafik 27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5158740" y="81114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175259</xdr:colOff>
      <xdr:row>34</xdr:row>
      <xdr:rowOff>185419</xdr:rowOff>
    </xdr:from>
    <xdr:to>
      <xdr:col>11</xdr:col>
      <xdr:colOff>362360</xdr:colOff>
      <xdr:row>35</xdr:row>
      <xdr:rowOff>122935</xdr:rowOff>
    </xdr:to>
    <xdr:pic>
      <xdr:nvPicPr>
        <xdr:cNvPr id="71" name="Picture 174" descr="Picture 174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5166359" y="8301989"/>
          <a:ext cx="187102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29</xdr:row>
      <xdr:rowOff>194944</xdr:rowOff>
    </xdr:from>
    <xdr:to>
      <xdr:col>28</xdr:col>
      <xdr:colOff>386718</xdr:colOff>
      <xdr:row>30</xdr:row>
      <xdr:rowOff>118747</xdr:rowOff>
    </xdr:to>
    <xdr:pic>
      <xdr:nvPicPr>
        <xdr:cNvPr id="72" name="Grafik 98" descr="Grafik 98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12588240" y="73494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30</xdr:row>
      <xdr:rowOff>185419</xdr:rowOff>
    </xdr:from>
    <xdr:to>
      <xdr:col>28</xdr:col>
      <xdr:colOff>385219</xdr:colOff>
      <xdr:row>31</xdr:row>
      <xdr:rowOff>122935</xdr:rowOff>
    </xdr:to>
    <xdr:pic>
      <xdr:nvPicPr>
        <xdr:cNvPr id="73" name="Picture 176" descr="Picture 176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12580619" y="753998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31</xdr:row>
      <xdr:rowOff>185419</xdr:rowOff>
    </xdr:from>
    <xdr:to>
      <xdr:col>28</xdr:col>
      <xdr:colOff>386718</xdr:colOff>
      <xdr:row>32</xdr:row>
      <xdr:rowOff>118747</xdr:rowOff>
    </xdr:to>
    <xdr:pic>
      <xdr:nvPicPr>
        <xdr:cNvPr id="74" name="Grafik 52" descr="Grafik 5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2588240" y="77304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32</xdr:row>
      <xdr:rowOff>185419</xdr:rowOff>
    </xdr:from>
    <xdr:to>
      <xdr:col>28</xdr:col>
      <xdr:colOff>386718</xdr:colOff>
      <xdr:row>33</xdr:row>
      <xdr:rowOff>118747</xdr:rowOff>
    </xdr:to>
    <xdr:pic>
      <xdr:nvPicPr>
        <xdr:cNvPr id="75" name="Grafik 98" descr="Grafik 98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12588240" y="79209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33</xdr:row>
      <xdr:rowOff>185419</xdr:rowOff>
    </xdr:from>
    <xdr:to>
      <xdr:col>28</xdr:col>
      <xdr:colOff>392840</xdr:colOff>
      <xdr:row>34</xdr:row>
      <xdr:rowOff>122935</xdr:rowOff>
    </xdr:to>
    <xdr:pic>
      <xdr:nvPicPr>
        <xdr:cNvPr id="76" name="Picture 179" descr="Picture 179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12588240" y="8111489"/>
          <a:ext cx="187101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213359</xdr:colOff>
      <xdr:row>35</xdr:row>
      <xdr:rowOff>2540</xdr:rowOff>
    </xdr:from>
    <xdr:to>
      <xdr:col>28</xdr:col>
      <xdr:colOff>394337</xdr:colOff>
      <xdr:row>35</xdr:row>
      <xdr:rowOff>126368</xdr:rowOff>
    </xdr:to>
    <xdr:pic>
      <xdr:nvPicPr>
        <xdr:cNvPr id="77" name="Grafik 52" descr="Grafik 5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2595859" y="83096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47</xdr:row>
      <xdr:rowOff>2540</xdr:rowOff>
    </xdr:from>
    <xdr:to>
      <xdr:col>11</xdr:col>
      <xdr:colOff>331880</xdr:colOff>
      <xdr:row>47</xdr:row>
      <xdr:rowOff>132008</xdr:rowOff>
    </xdr:to>
    <xdr:pic>
      <xdr:nvPicPr>
        <xdr:cNvPr id="78" name="Picture 181" descr="Picture 181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5135879" y="10900409"/>
          <a:ext cx="187102" cy="1294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48</xdr:row>
      <xdr:rowOff>185419</xdr:rowOff>
    </xdr:from>
    <xdr:to>
      <xdr:col>11</xdr:col>
      <xdr:colOff>331880</xdr:colOff>
      <xdr:row>49</xdr:row>
      <xdr:rowOff>122935</xdr:rowOff>
    </xdr:to>
    <xdr:pic>
      <xdr:nvPicPr>
        <xdr:cNvPr id="79" name="Picture 182" descr="Picture 182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5135879" y="11273789"/>
          <a:ext cx="187102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49</xdr:row>
      <xdr:rowOff>185419</xdr:rowOff>
    </xdr:from>
    <xdr:to>
      <xdr:col>11</xdr:col>
      <xdr:colOff>325757</xdr:colOff>
      <xdr:row>50</xdr:row>
      <xdr:rowOff>118747</xdr:rowOff>
    </xdr:to>
    <xdr:pic>
      <xdr:nvPicPr>
        <xdr:cNvPr id="80" name="Grafik 31" descr="Grafik 3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5135879" y="114642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137159</xdr:colOff>
      <xdr:row>51</xdr:row>
      <xdr:rowOff>2540</xdr:rowOff>
    </xdr:from>
    <xdr:to>
      <xdr:col>11</xdr:col>
      <xdr:colOff>324260</xdr:colOff>
      <xdr:row>51</xdr:row>
      <xdr:rowOff>130556</xdr:rowOff>
    </xdr:to>
    <xdr:pic>
      <xdr:nvPicPr>
        <xdr:cNvPr id="81" name="Picture 185" descr="Picture 185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5128259" y="11662409"/>
          <a:ext cx="187102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137159</xdr:colOff>
      <xdr:row>51</xdr:row>
      <xdr:rowOff>185419</xdr:rowOff>
    </xdr:from>
    <xdr:to>
      <xdr:col>11</xdr:col>
      <xdr:colOff>324260</xdr:colOff>
      <xdr:row>52</xdr:row>
      <xdr:rowOff>122935</xdr:rowOff>
    </xdr:to>
    <xdr:pic>
      <xdr:nvPicPr>
        <xdr:cNvPr id="82" name="Picture 186" descr="Picture 186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5128259" y="11845289"/>
          <a:ext cx="187102" cy="1280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47</xdr:row>
      <xdr:rowOff>10159</xdr:rowOff>
    </xdr:from>
    <xdr:to>
      <xdr:col>28</xdr:col>
      <xdr:colOff>386380</xdr:colOff>
      <xdr:row>47</xdr:row>
      <xdr:rowOff>138969</xdr:rowOff>
    </xdr:to>
    <xdr:pic>
      <xdr:nvPicPr>
        <xdr:cNvPr id="83" name="Picture 187" descr="Picture 187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12580619" y="10908029"/>
          <a:ext cx="188262" cy="1288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48</xdr:row>
      <xdr:rowOff>2540</xdr:rowOff>
    </xdr:from>
    <xdr:to>
      <xdr:col>28</xdr:col>
      <xdr:colOff>385219</xdr:colOff>
      <xdr:row>48</xdr:row>
      <xdr:rowOff>130556</xdr:rowOff>
    </xdr:to>
    <xdr:pic>
      <xdr:nvPicPr>
        <xdr:cNvPr id="84" name="Picture 188" descr="Picture 188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12580619" y="11090909"/>
          <a:ext cx="187101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48</xdr:row>
      <xdr:rowOff>185419</xdr:rowOff>
    </xdr:from>
    <xdr:to>
      <xdr:col>28</xdr:col>
      <xdr:colOff>386380</xdr:colOff>
      <xdr:row>49</xdr:row>
      <xdr:rowOff>123728</xdr:rowOff>
    </xdr:to>
    <xdr:pic>
      <xdr:nvPicPr>
        <xdr:cNvPr id="85" name="Picture 189" descr="Picture 189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12580619" y="11273789"/>
          <a:ext cx="188262" cy="1288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50</xdr:row>
      <xdr:rowOff>2540</xdr:rowOff>
    </xdr:from>
    <xdr:to>
      <xdr:col>28</xdr:col>
      <xdr:colOff>386718</xdr:colOff>
      <xdr:row>50</xdr:row>
      <xdr:rowOff>126368</xdr:rowOff>
    </xdr:to>
    <xdr:pic>
      <xdr:nvPicPr>
        <xdr:cNvPr id="86" name="Grafik 93" descr="Grafik 93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12588240" y="114719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51</xdr:row>
      <xdr:rowOff>10159</xdr:rowOff>
    </xdr:from>
    <xdr:to>
      <xdr:col>28</xdr:col>
      <xdr:colOff>379097</xdr:colOff>
      <xdr:row>51</xdr:row>
      <xdr:rowOff>133987</xdr:rowOff>
    </xdr:to>
    <xdr:pic>
      <xdr:nvPicPr>
        <xdr:cNvPr id="87" name="Grafik 36" descr="Grafik 36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12580619" y="1167002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52</xdr:row>
      <xdr:rowOff>2540</xdr:rowOff>
    </xdr:from>
    <xdr:to>
      <xdr:col>28</xdr:col>
      <xdr:colOff>379097</xdr:colOff>
      <xdr:row>52</xdr:row>
      <xdr:rowOff>126368</xdr:rowOff>
    </xdr:to>
    <xdr:pic>
      <xdr:nvPicPr>
        <xdr:cNvPr id="88" name="Grafik 93" descr="Grafik 93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12580619" y="118529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63</xdr:row>
      <xdr:rowOff>185419</xdr:rowOff>
    </xdr:from>
    <xdr:to>
      <xdr:col>11</xdr:col>
      <xdr:colOff>331880</xdr:colOff>
      <xdr:row>64</xdr:row>
      <xdr:rowOff>122936</xdr:rowOff>
    </xdr:to>
    <xdr:pic>
      <xdr:nvPicPr>
        <xdr:cNvPr id="89" name="Picture 193" descr="Picture 193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5135879" y="14321789"/>
          <a:ext cx="187102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65</xdr:row>
      <xdr:rowOff>2539</xdr:rowOff>
    </xdr:from>
    <xdr:to>
      <xdr:col>11</xdr:col>
      <xdr:colOff>325757</xdr:colOff>
      <xdr:row>65</xdr:row>
      <xdr:rowOff>126367</xdr:rowOff>
    </xdr:to>
    <xdr:pic>
      <xdr:nvPicPr>
        <xdr:cNvPr id="90" name="Grafik 41" descr="Grafik 4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5135879" y="145199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137159</xdr:colOff>
      <xdr:row>65</xdr:row>
      <xdr:rowOff>185419</xdr:rowOff>
    </xdr:from>
    <xdr:to>
      <xdr:col>11</xdr:col>
      <xdr:colOff>324260</xdr:colOff>
      <xdr:row>66</xdr:row>
      <xdr:rowOff>122936</xdr:rowOff>
    </xdr:to>
    <xdr:pic>
      <xdr:nvPicPr>
        <xdr:cNvPr id="91" name="Picture 195" descr="Picture 195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5128259" y="14702789"/>
          <a:ext cx="187102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137159</xdr:colOff>
      <xdr:row>66</xdr:row>
      <xdr:rowOff>185419</xdr:rowOff>
    </xdr:from>
    <xdr:to>
      <xdr:col>11</xdr:col>
      <xdr:colOff>324260</xdr:colOff>
      <xdr:row>67</xdr:row>
      <xdr:rowOff>122936</xdr:rowOff>
    </xdr:to>
    <xdr:pic>
      <xdr:nvPicPr>
        <xdr:cNvPr id="92" name="Picture 196" descr="Picture 196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5128259" y="14893289"/>
          <a:ext cx="187102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144779</xdr:colOff>
      <xdr:row>68</xdr:row>
      <xdr:rowOff>2539</xdr:rowOff>
    </xdr:from>
    <xdr:to>
      <xdr:col>11</xdr:col>
      <xdr:colOff>325757</xdr:colOff>
      <xdr:row>68</xdr:row>
      <xdr:rowOff>126367</xdr:rowOff>
    </xdr:to>
    <xdr:pic>
      <xdr:nvPicPr>
        <xdr:cNvPr id="93" name="Grafik 83" descr="Grafik 83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5135879" y="1509140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11</xdr:col>
      <xdr:colOff>152400</xdr:colOff>
      <xdr:row>68</xdr:row>
      <xdr:rowOff>185419</xdr:rowOff>
    </xdr:from>
    <xdr:to>
      <xdr:col>11</xdr:col>
      <xdr:colOff>339499</xdr:colOff>
      <xdr:row>69</xdr:row>
      <xdr:rowOff>122936</xdr:rowOff>
    </xdr:to>
    <xdr:pic>
      <xdr:nvPicPr>
        <xdr:cNvPr id="94" name="Picture 198" descr="Picture 198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5143500" y="15274289"/>
          <a:ext cx="187100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64</xdr:row>
      <xdr:rowOff>2539</xdr:rowOff>
    </xdr:from>
    <xdr:to>
      <xdr:col>28</xdr:col>
      <xdr:colOff>385219</xdr:colOff>
      <xdr:row>64</xdr:row>
      <xdr:rowOff>130556</xdr:rowOff>
    </xdr:to>
    <xdr:pic>
      <xdr:nvPicPr>
        <xdr:cNvPr id="95" name="Picture 199" descr="Picture 199"/>
        <xdr:cNvPicPr>
          <a:picLocks noChangeAspect="1"/>
        </xdr:cNvPicPr>
      </xdr:nvPicPr>
      <xdr:blipFill>
        <a:blip r:embed="rId36">
          <a:extLst/>
        </a:blip>
        <a:stretch>
          <a:fillRect/>
        </a:stretch>
      </xdr:blipFill>
      <xdr:spPr>
        <a:xfrm>
          <a:off x="12580619" y="14329409"/>
          <a:ext cx="187101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64</xdr:row>
      <xdr:rowOff>185419</xdr:rowOff>
    </xdr:from>
    <xdr:to>
      <xdr:col>28</xdr:col>
      <xdr:colOff>385219</xdr:colOff>
      <xdr:row>65</xdr:row>
      <xdr:rowOff>122936</xdr:rowOff>
    </xdr:to>
    <xdr:pic>
      <xdr:nvPicPr>
        <xdr:cNvPr id="96" name="Picture 200" descr="Picture 200"/>
        <xdr:cNvPicPr>
          <a:picLocks noChangeAspect="1"/>
        </xdr:cNvPicPr>
      </xdr:nvPicPr>
      <xdr:blipFill>
        <a:blip r:embed="rId37">
          <a:extLst/>
        </a:blip>
        <a:stretch>
          <a:fillRect/>
        </a:stretch>
      </xdr:blipFill>
      <xdr:spPr>
        <a:xfrm>
          <a:off x="12580619" y="14512289"/>
          <a:ext cx="187101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66</xdr:row>
      <xdr:rowOff>2539</xdr:rowOff>
    </xdr:from>
    <xdr:to>
      <xdr:col>28</xdr:col>
      <xdr:colOff>385219</xdr:colOff>
      <xdr:row>66</xdr:row>
      <xdr:rowOff>130556</xdr:rowOff>
    </xdr:to>
    <xdr:pic>
      <xdr:nvPicPr>
        <xdr:cNvPr id="97" name="Picture 201" descr="Picture 201"/>
        <xdr:cNvPicPr>
          <a:picLocks noChangeAspect="1"/>
        </xdr:cNvPicPr>
      </xdr:nvPicPr>
      <xdr:blipFill>
        <a:blip r:embed="rId37">
          <a:extLst/>
        </a:blip>
        <a:stretch>
          <a:fillRect/>
        </a:stretch>
      </xdr:blipFill>
      <xdr:spPr>
        <a:xfrm>
          <a:off x="12580619" y="14710409"/>
          <a:ext cx="187101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198119</xdr:colOff>
      <xdr:row>67</xdr:row>
      <xdr:rowOff>10160</xdr:rowOff>
    </xdr:from>
    <xdr:to>
      <xdr:col>28</xdr:col>
      <xdr:colOff>385219</xdr:colOff>
      <xdr:row>67</xdr:row>
      <xdr:rowOff>138176</xdr:rowOff>
    </xdr:to>
    <xdr:pic>
      <xdr:nvPicPr>
        <xdr:cNvPr id="98" name="Picture 202" descr="Picture 202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12580619" y="14908530"/>
          <a:ext cx="187101" cy="1280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67</xdr:row>
      <xdr:rowOff>185419</xdr:rowOff>
    </xdr:from>
    <xdr:to>
      <xdr:col>28</xdr:col>
      <xdr:colOff>386718</xdr:colOff>
      <xdr:row>68</xdr:row>
      <xdr:rowOff>118747</xdr:rowOff>
    </xdr:to>
    <xdr:pic>
      <xdr:nvPicPr>
        <xdr:cNvPr id="99" name="Grafik 149" descr="Grafik 149"/>
        <xdr:cNvPicPr>
          <a:picLocks noChangeAspect="1"/>
        </xdr:cNvPicPr>
      </xdr:nvPicPr>
      <xdr:blipFill>
        <a:blip r:embed="rId38">
          <a:extLst/>
        </a:blip>
        <a:stretch>
          <a:fillRect/>
        </a:stretch>
      </xdr:blipFill>
      <xdr:spPr>
        <a:xfrm>
          <a:off x="12588240" y="15083789"/>
          <a:ext cx="180979" cy="123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28</xdr:col>
      <xdr:colOff>205740</xdr:colOff>
      <xdr:row>69</xdr:row>
      <xdr:rowOff>2539</xdr:rowOff>
    </xdr:from>
    <xdr:to>
      <xdr:col>28</xdr:col>
      <xdr:colOff>392840</xdr:colOff>
      <xdr:row>69</xdr:row>
      <xdr:rowOff>130556</xdr:rowOff>
    </xdr:to>
    <xdr:pic>
      <xdr:nvPicPr>
        <xdr:cNvPr id="100" name="Picture 204" descr="Picture 204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12588240" y="15281909"/>
          <a:ext cx="187101" cy="1280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9525</xdr:colOff>
      <xdr:row>0</xdr:row>
      <xdr:rowOff>209550</xdr:rowOff>
    </xdr:from>
    <xdr:to>
      <xdr:col>29</xdr:col>
      <xdr:colOff>133350</xdr:colOff>
      <xdr:row>3</xdr:row>
      <xdr:rowOff>34747</xdr:rowOff>
    </xdr:to>
    <xdr:pic>
      <xdr:nvPicPr>
        <xdr:cNvPr id="101" name="Grafik 4" descr="Grafik 4">
          <a:hlinkClick r:id="rId39" invalidUrl="" action="" tgtFrame="" tooltip="" history="1" highlightClick="0" endSnd="0"/>
        </xdr:cNvPr>
        <xdr:cNvPicPr>
          <a:picLocks noChangeAspect="1"/>
        </xdr:cNvPicPr>
      </xdr:nvPicPr>
      <xdr:blipFill>
        <a:blip r:embed="rId40">
          <a:extLst/>
        </a:blip>
        <a:stretch>
          <a:fillRect/>
        </a:stretch>
      </xdr:blipFill>
      <xdr:spPr>
        <a:xfrm>
          <a:off x="1622425" y="209550"/>
          <a:ext cx="11477625" cy="12539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H100"/>
  <sheetViews>
    <sheetView workbookViewId="0" showGridLines="0" defaultGridColor="1"/>
  </sheetViews>
  <sheetFormatPr defaultColWidth="11.5" defaultRowHeight="15" customHeight="1" outlineLevelRow="0" outlineLevelCol="0"/>
  <cols>
    <col min="1" max="1" width="4.17188" style="1" customWidth="1"/>
    <col min="2" max="2" width="5.5" style="1" customWidth="1"/>
    <col min="3" max="3" width="11.5" style="1" customWidth="1"/>
    <col min="4" max="4" width="8.67188" style="1" customWidth="1"/>
    <col min="5" max="5" width="4.35156" style="1" customWidth="1"/>
    <col min="6" max="6" width="4.35156" style="1" customWidth="1"/>
    <col min="7" max="7" width="4.35156" style="1" customWidth="1"/>
    <col min="8" max="8" width="8.5" style="1" customWidth="1"/>
    <col min="9" max="9" width="2.17188" style="1" customWidth="1"/>
    <col min="10" max="10" width="6.5" style="1" customWidth="1"/>
    <col min="11" max="11" width="5.5" style="1" customWidth="1"/>
    <col min="12" max="12" width="6.5" style="1" customWidth="1"/>
    <col min="13" max="13" width="7.17188" style="1" customWidth="1"/>
    <col min="14" max="14" width="7.17188" style="1" customWidth="1"/>
    <col min="15" max="15" width="7.17188" style="1" customWidth="1"/>
    <col min="16" max="16" width="3.35156" style="1" customWidth="1"/>
    <col min="17" max="17" width="2.17188" style="1" customWidth="1"/>
    <col min="18" max="18" width="2.17188" style="1" customWidth="1"/>
    <col min="19" max="19" width="5.5" style="1" customWidth="1"/>
    <col min="20" max="20" width="11.5" style="1" customWidth="1"/>
    <col min="21" max="21" width="8.67188" style="1" customWidth="1"/>
    <col min="22" max="22" width="4.35156" style="1" customWidth="1"/>
    <col min="23" max="23" width="4.35156" style="1" customWidth="1"/>
    <col min="24" max="24" width="4.35156" style="1" customWidth="1"/>
    <col min="25" max="25" width="8.5" style="1" customWidth="1"/>
    <col min="26" max="26" width="2.17188" style="1" customWidth="1"/>
    <col min="27" max="27" width="6.5" style="1" customWidth="1"/>
    <col min="28" max="28" width="5.5" style="1" customWidth="1"/>
    <col min="29" max="29" width="7.67188" style="1" customWidth="1"/>
    <col min="30" max="30" width="7.17188" style="1" customWidth="1"/>
    <col min="31" max="31" width="7.17188" style="1" customWidth="1"/>
    <col min="32" max="32" width="7.17188" style="1" customWidth="1"/>
    <col min="33" max="33" width="3.35156" style="1" customWidth="1"/>
    <col min="34" max="34" width="2.17188" style="1" customWidth="1"/>
    <col min="35" max="256" width="11.5" style="1" customWidth="1"/>
  </cols>
  <sheetData>
    <row r="1" ht="79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6"/>
      <c r="X1" s="7"/>
      <c r="Y1" s="7"/>
      <c r="Z1" s="7"/>
      <c r="AA1" s="7"/>
      <c r="AB1" s="7"/>
      <c r="AC1" s="7"/>
      <c r="AD1" s="7"/>
      <c r="AE1" s="7"/>
      <c r="AF1" s="7"/>
      <c r="AG1" s="7"/>
      <c r="AH1" s="8"/>
    </row>
    <row r="2" ht="18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  <c r="P2" s="11"/>
      <c r="Q2" s="11"/>
      <c r="R2" s="11"/>
      <c r="S2" s="11"/>
      <c r="T2" s="11"/>
      <c r="U2" s="11"/>
      <c r="V2" s="11"/>
      <c r="W2" s="12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ht="1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ht="28.1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7"/>
      <c r="O4" s="17"/>
      <c r="P4" s="17"/>
      <c r="Q4" s="11"/>
      <c r="R4" s="11"/>
      <c r="S4" s="17"/>
      <c r="T4" s="17"/>
      <c r="U4" s="17"/>
      <c r="V4" s="1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</row>
    <row r="5" ht="21" customHeight="1">
      <c r="A5" s="20"/>
      <c r="B5" t="s" s="21">
        <v>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R5" s="24"/>
      <c r="S5" t="s" s="25">
        <v>1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ht="15" customHeight="1">
      <c r="A6" s="20"/>
      <c r="B6" s="28"/>
      <c r="C6" s="29"/>
      <c r="D6" s="30"/>
      <c r="E6" t="s" s="31">
        <v>2</v>
      </c>
      <c r="F6" t="s" s="31">
        <v>3</v>
      </c>
      <c r="G6" t="s" s="31">
        <v>4</v>
      </c>
      <c r="H6" t="s" s="32">
        <v>5</v>
      </c>
      <c r="I6" s="33"/>
      <c r="J6" s="33"/>
      <c r="K6" t="s" s="34">
        <v>6</v>
      </c>
      <c r="L6" s="33"/>
      <c r="M6" t="s" s="35">
        <v>7</v>
      </c>
      <c r="N6" t="s" s="34">
        <v>8</v>
      </c>
      <c r="O6" s="36"/>
      <c r="P6" s="37"/>
      <c r="Q6" s="23"/>
      <c r="R6" s="24"/>
      <c r="S6" s="38"/>
      <c r="T6" s="39"/>
      <c r="U6" s="40"/>
      <c r="V6" t="s" s="41">
        <v>2</v>
      </c>
      <c r="W6" t="s" s="41">
        <v>3</v>
      </c>
      <c r="X6" t="s" s="41">
        <v>4</v>
      </c>
      <c r="Y6" t="s" s="42">
        <v>5</v>
      </c>
      <c r="Z6" s="40"/>
      <c r="AA6" s="40"/>
      <c r="AB6" t="s" s="43">
        <v>6</v>
      </c>
      <c r="AC6" s="40"/>
      <c r="AD6" t="s" s="41">
        <v>7</v>
      </c>
      <c r="AE6" t="s" s="43">
        <v>8</v>
      </c>
      <c r="AF6" s="44"/>
      <c r="AG6" s="45"/>
      <c r="AH6" s="27"/>
    </row>
    <row r="7" ht="15" customHeight="1">
      <c r="A7" s="20"/>
      <c r="B7" t="s" s="46">
        <v>9</v>
      </c>
      <c r="C7" t="s" s="47">
        <f>VLOOKUP(1,'Gruppen'!$A$6:$L$9,2,FALSE)</f>
        <v>10</v>
      </c>
      <c r="D7" s="48"/>
      <c r="E7" s="49">
        <f>VLOOKUP(1,'Gruppen'!$A$6:$L$9,3,FALSE)</f>
        <v>3</v>
      </c>
      <c r="F7" s="49">
        <f>VLOOKUP(1,'Gruppen'!$A$6:$L$9,4,FALSE)</f>
        <v>2</v>
      </c>
      <c r="G7" s="49">
        <f>VLOOKUP(1,'Gruppen'!$A$6:$L$9,5,FALSE)</f>
        <v>1</v>
      </c>
      <c r="H7" t="s" s="50">
        <f>VLOOKUP(1,'Gruppen'!$A$6:$L$9,6,FALSE)</f>
        <v>11</v>
      </c>
      <c r="I7" s="51"/>
      <c r="J7" s="52">
        <f>VLOOKUP(1,'Gruppen'!$A$6:$L$9,7,FALSE)</f>
        <v>7</v>
      </c>
      <c r="K7" t="s" s="53">
        <v>12</v>
      </c>
      <c r="L7" s="54">
        <f>VLOOKUP(1,'Gruppen'!$A$6:$L$9,9,FALSE)</f>
        <v>4</v>
      </c>
      <c r="M7" s="55">
        <f>VLOOKUP(1,'Gruppen'!$A$6:$L$9,10,FALSE)</f>
        <v>3</v>
      </c>
      <c r="N7" s="55">
        <f>VLOOKUP(1,'Gruppen'!$A$6:$L$9,11,FALSE)</f>
        <v>7</v>
      </c>
      <c r="O7" s="56"/>
      <c r="P7" s="57"/>
      <c r="Q7" s="23"/>
      <c r="R7" s="24"/>
      <c r="S7" t="s" s="46">
        <v>9</v>
      </c>
      <c r="T7" t="s" s="47">
        <f>VLOOKUP(1,'Gruppen'!$A$12:$L$15,2,FALSE)</f>
        <v>13</v>
      </c>
      <c r="U7" s="48"/>
      <c r="V7" s="55">
        <f>VLOOKUP(1,'Gruppen'!$A$12:$L$15,3,FALSE)</f>
        <v>3</v>
      </c>
      <c r="W7" s="55">
        <f>VLOOKUP(1,'Gruppen'!$A$12:$L$15,4,FALSE)</f>
        <v>3</v>
      </c>
      <c r="X7" s="55">
        <f>VLOOKUP(1,'Gruppen'!$A$12:$L$15,5,FALSE)</f>
        <v>0</v>
      </c>
      <c r="Y7" t="s" s="53">
        <f>VLOOKUP(1,'Gruppen'!$A$12:$L$15,6,FALSE)</f>
        <v>11</v>
      </c>
      <c r="Z7" s="51"/>
      <c r="AA7" s="52">
        <f>VLOOKUP(1,'Gruppen'!$A$12:$L$15,7,FALSE)</f>
        <v>8</v>
      </c>
      <c r="AB7" t="s" s="53">
        <v>12</v>
      </c>
      <c r="AC7" s="54">
        <f>VLOOKUP(1,'Gruppen'!$A$12:$L$15,9,FALSE)</f>
        <v>2</v>
      </c>
      <c r="AD7" s="55">
        <f>VLOOKUP(1,'Gruppen'!$A$12:$L$15,10,FALSE)</f>
        <v>6</v>
      </c>
      <c r="AE7" s="55">
        <f>VLOOKUP(1,'Gruppen'!$A$12:$L$15,11,FALSE)</f>
        <v>9</v>
      </c>
      <c r="AF7" s="56"/>
      <c r="AG7" s="57"/>
      <c r="AH7" s="27"/>
    </row>
    <row r="8" ht="15" customHeight="1">
      <c r="A8" s="20"/>
      <c r="B8" t="s" s="58">
        <v>14</v>
      </c>
      <c r="C8" t="s" s="59">
        <f>VLOOKUP(2,'Gruppen'!$A$6:$L$9,2,FALSE)</f>
        <v>15</v>
      </c>
      <c r="D8" s="60"/>
      <c r="E8" s="61">
        <f>VLOOKUP(2,'Gruppen'!$A$6:$L$9,3,FALSE)</f>
        <v>3</v>
      </c>
      <c r="F8" s="61">
        <f>VLOOKUP(2,'Gruppen'!$A$6:$L$9,4,FALSE)</f>
        <v>1</v>
      </c>
      <c r="G8" s="61">
        <f>VLOOKUP(2,'Gruppen'!$A$6:$L$9,5,FALSE)</f>
        <v>2</v>
      </c>
      <c r="H8" t="s" s="62">
        <f>VLOOKUP(2,'Gruppen'!$A$6:$L$9,6,FALSE)</f>
        <v>11</v>
      </c>
      <c r="I8" s="63"/>
      <c r="J8" s="64">
        <f>VLOOKUP(2,'Gruppen'!$A$6:$L$9,7,FALSE)</f>
        <v>5</v>
      </c>
      <c r="K8" t="s" s="65">
        <v>12</v>
      </c>
      <c r="L8" s="66">
        <f>VLOOKUP(2,'Gruppen'!$A$6:$L$9,9,FALSE)</f>
        <v>3</v>
      </c>
      <c r="M8" s="67">
        <f>VLOOKUP(2,'Gruppen'!$A$6:$L$9,10,FALSE)</f>
        <v>2</v>
      </c>
      <c r="N8" s="67">
        <f>VLOOKUP(2,'Gruppen'!$A$6:$L$9,11,FALSE)</f>
        <v>5</v>
      </c>
      <c r="O8" s="68"/>
      <c r="P8" s="69"/>
      <c r="Q8" s="23"/>
      <c r="R8" s="24"/>
      <c r="S8" t="s" s="58">
        <v>14</v>
      </c>
      <c r="T8" t="s" s="59">
        <f>VLOOKUP(2,'Gruppen'!$A$12:$L$15,2,FALSE)</f>
        <v>16</v>
      </c>
      <c r="U8" s="60"/>
      <c r="V8" s="67">
        <f>VLOOKUP(2,'Gruppen'!$A$12:$L$15,3,FALSE)</f>
        <v>3</v>
      </c>
      <c r="W8" s="67">
        <f>VLOOKUP(2,'Gruppen'!$A$12:$L$15,4,FALSE)</f>
        <v>2</v>
      </c>
      <c r="X8" s="67">
        <f>VLOOKUP(2,'Gruppen'!$A$12:$L$15,5,FALSE)</f>
        <v>0</v>
      </c>
      <c r="Y8" t="s" s="65">
        <f>VLOOKUP(2,'Gruppen'!$A$12:$L$15,6,FALSE)</f>
        <v>11</v>
      </c>
      <c r="Z8" s="63"/>
      <c r="AA8" s="64">
        <f>VLOOKUP(2,'Gruppen'!$A$12:$L$15,7,FALSE)</f>
        <v>5</v>
      </c>
      <c r="AB8" t="s" s="65">
        <v>12</v>
      </c>
      <c r="AC8" s="66">
        <f>VLOOKUP(2,'Gruppen'!$A$12:$L$15,9,FALSE)</f>
        <v>4</v>
      </c>
      <c r="AD8" s="67">
        <f>VLOOKUP(2,'Gruppen'!$A$12:$L$15,10,FALSE)</f>
        <v>1</v>
      </c>
      <c r="AE8" s="67">
        <f>VLOOKUP(2,'Gruppen'!$A$12:$L$15,11,FALSE)</f>
        <v>6</v>
      </c>
      <c r="AF8" s="68"/>
      <c r="AG8" s="69"/>
      <c r="AH8" s="27"/>
    </row>
    <row r="9" ht="15" customHeight="1">
      <c r="A9" s="20"/>
      <c r="B9" t="s" s="58">
        <v>17</v>
      </c>
      <c r="C9" t="s" s="59">
        <f>VLOOKUP(3,'Gruppen'!$A$6:$L$9,2,FALSE)</f>
        <v>18</v>
      </c>
      <c r="D9" s="60"/>
      <c r="E9" s="61">
        <f>VLOOKUP(3,'Gruppen'!$A$6:$L$9,3,FALSE)</f>
        <v>3</v>
      </c>
      <c r="F9" s="61">
        <f>VLOOKUP(3,'Gruppen'!$A$6:$L$9,4,FALSE)</f>
        <v>1</v>
      </c>
      <c r="G9" s="61">
        <f>VLOOKUP(3,'Gruppen'!$A$6:$L$9,5,FALSE)</f>
        <v>1</v>
      </c>
      <c r="H9" t="s" s="62">
        <f>VLOOKUP(3,'Gruppen'!$A$6:$L$9,6,FALSE)</f>
        <v>11</v>
      </c>
      <c r="I9" s="63"/>
      <c r="J9" s="64">
        <f>VLOOKUP(3,'Gruppen'!$A$6:$L$9,7,FALSE)</f>
        <v>4</v>
      </c>
      <c r="K9" t="s" s="65">
        <v>12</v>
      </c>
      <c r="L9" s="66">
        <f>VLOOKUP(3,'Gruppen'!$A$6:$L$9,9,FALSE)</f>
        <v>4</v>
      </c>
      <c r="M9" s="67">
        <f>VLOOKUP(3,'Gruppen'!$A$6:$L$9,10,FALSE)</f>
        <v>0</v>
      </c>
      <c r="N9" s="67">
        <f>VLOOKUP(3,'Gruppen'!$A$6:$L$9,11,FALSE)</f>
        <v>4</v>
      </c>
      <c r="O9" s="68"/>
      <c r="P9" s="69"/>
      <c r="Q9" s="23"/>
      <c r="R9" s="24"/>
      <c r="S9" t="s" s="58">
        <v>17</v>
      </c>
      <c r="T9" t="s" s="59">
        <f>VLOOKUP(3,'Gruppen'!$A$12:$L$15,2,FALSE)</f>
        <v>19</v>
      </c>
      <c r="U9" s="60"/>
      <c r="V9" s="67">
        <f>VLOOKUP(3,'Gruppen'!$A$12:$L$15,3,FALSE)</f>
        <v>3</v>
      </c>
      <c r="W9" s="67">
        <f>VLOOKUP(3,'Gruppen'!$A$12:$L$15,4,FALSE)</f>
        <v>1</v>
      </c>
      <c r="X9" s="67">
        <f>VLOOKUP(3,'Gruppen'!$A$12:$L$15,5,FALSE)</f>
        <v>0</v>
      </c>
      <c r="Y9" t="s" s="65">
        <f>VLOOKUP(3,'Gruppen'!$A$12:$L$15,6,FALSE)</f>
        <v>11</v>
      </c>
      <c r="Z9" s="63"/>
      <c r="AA9" s="64">
        <f>VLOOKUP(3,'Gruppen'!$A$12:$L$15,7,FALSE)</f>
        <v>3</v>
      </c>
      <c r="AB9" t="s" s="65">
        <v>12</v>
      </c>
      <c r="AC9" s="66">
        <f>VLOOKUP(3,'Gruppen'!$A$12:$L$15,9,FALSE)</f>
        <v>6</v>
      </c>
      <c r="AD9" s="67">
        <f>VLOOKUP(3,'Gruppen'!$A$12:$L$15,10,FALSE)</f>
        <v>-3</v>
      </c>
      <c r="AE9" s="67">
        <f>VLOOKUP(3,'Gruppen'!$A$12:$L$15,11,FALSE)</f>
        <v>3</v>
      </c>
      <c r="AF9" s="68"/>
      <c r="AG9" s="69"/>
      <c r="AH9" s="27"/>
    </row>
    <row r="10" ht="15.75" customHeight="1">
      <c r="A10" s="20"/>
      <c r="B10" t="s" s="70">
        <v>20</v>
      </c>
      <c r="C10" t="s" s="71">
        <f>VLOOKUP(4,'Gruppen'!$A$6:$L$9,2,FALSE)</f>
        <v>21</v>
      </c>
      <c r="D10" s="72"/>
      <c r="E10" s="73">
        <f>VLOOKUP(4,'Gruppen'!$A$6:$L$9,3,FALSE)</f>
        <v>3</v>
      </c>
      <c r="F10" s="73">
        <f>VLOOKUP(4,'Gruppen'!$A$6:$L$9,4,FALSE)</f>
        <v>0</v>
      </c>
      <c r="G10" s="73">
        <f>VLOOKUP(4,'Gruppen'!$A$6:$L$9,5,FALSE)</f>
        <v>0</v>
      </c>
      <c r="H10" t="s" s="74">
        <f>VLOOKUP(4,'Gruppen'!$A$6:$L$9,6,FALSE)</f>
        <v>11</v>
      </c>
      <c r="I10" s="75"/>
      <c r="J10" s="76">
        <f>VLOOKUP(4,'Gruppen'!$A$6:$L$9,7,FALSE)</f>
        <v>2</v>
      </c>
      <c r="K10" t="s" s="77">
        <v>12</v>
      </c>
      <c r="L10" s="78">
        <f>VLOOKUP(4,'Gruppen'!$A$6:$L$9,9,FALSE)</f>
        <v>7</v>
      </c>
      <c r="M10" s="79">
        <f>VLOOKUP(4,'Gruppen'!$A$6:$L$9,10,FALSE)</f>
        <v>-5</v>
      </c>
      <c r="N10" s="79">
        <f>VLOOKUP(4,'Gruppen'!$A$6:$L$9,11,FALSE)</f>
        <v>0</v>
      </c>
      <c r="O10" s="80"/>
      <c r="P10" s="81"/>
      <c r="Q10" s="23"/>
      <c r="R10" s="24"/>
      <c r="S10" t="s" s="70">
        <v>20</v>
      </c>
      <c r="T10" t="s" s="71">
        <f>VLOOKUP(4,'Gruppen'!$A$12:$L$15,2,FALSE)</f>
        <v>22</v>
      </c>
      <c r="U10" s="72"/>
      <c r="V10" s="79">
        <f>VLOOKUP(4,'Gruppen'!$A$12:$L$15,3,FALSE)</f>
        <v>3</v>
      </c>
      <c r="W10" s="79">
        <f>VLOOKUP(4,'Gruppen'!$A$12:$L$15,4,FALSE)</f>
        <v>0</v>
      </c>
      <c r="X10" s="79">
        <f>VLOOKUP(4,'Gruppen'!$A$12:$L$15,5,FALSE)</f>
        <v>0</v>
      </c>
      <c r="Y10" t="s" s="77">
        <f>VLOOKUP(4,'Gruppen'!$A$12:$L$15,6,FALSE)</f>
        <v>11</v>
      </c>
      <c r="Z10" s="75"/>
      <c r="AA10" s="76">
        <f>VLOOKUP(4,'Gruppen'!$A$12:$L$15,7,FALSE)</f>
        <v>2</v>
      </c>
      <c r="AB10" t="s" s="77">
        <v>12</v>
      </c>
      <c r="AC10" s="78">
        <f>VLOOKUP(4,'Gruppen'!$A$12:$L$15,9,FALSE)</f>
        <v>6</v>
      </c>
      <c r="AD10" s="79">
        <f>VLOOKUP(4,'Gruppen'!$A$12:$L$15,10,FALSE)</f>
        <v>-4</v>
      </c>
      <c r="AE10" s="79">
        <f>VLOOKUP(4,'Gruppen'!$A$12:$L$15,11,FALSE)</f>
        <v>0</v>
      </c>
      <c r="AF10" s="80"/>
      <c r="AG10" s="81"/>
      <c r="AH10" s="27"/>
    </row>
    <row r="11" ht="15.75" customHeight="1">
      <c r="A11" s="15"/>
      <c r="B11" s="82"/>
      <c r="C11" s="83"/>
      <c r="D11" s="83"/>
      <c r="E11" s="84"/>
      <c r="F11" s="84"/>
      <c r="G11" s="84"/>
      <c r="H11" s="84"/>
      <c r="I11" s="85"/>
      <c r="J11" s="85"/>
      <c r="K11" s="86"/>
      <c r="L11" s="83"/>
      <c r="M11" s="86"/>
      <c r="N11" s="86"/>
      <c r="O11" s="86"/>
      <c r="P11" s="86"/>
      <c r="Q11" s="87"/>
      <c r="R11" s="87"/>
      <c r="S11" s="82"/>
      <c r="T11" s="83"/>
      <c r="U11" s="83"/>
      <c r="V11" s="86"/>
      <c r="W11" s="86"/>
      <c r="X11" s="86"/>
      <c r="Y11" s="86"/>
      <c r="Z11" s="85"/>
      <c r="AA11" s="85"/>
      <c r="AB11" s="86"/>
      <c r="AC11" s="83"/>
      <c r="AD11" s="86"/>
      <c r="AE11" s="86"/>
      <c r="AF11" s="86"/>
      <c r="AG11" s="86"/>
      <c r="AH11" s="88"/>
    </row>
    <row r="12" ht="30" customHeight="1">
      <c r="A12" s="20"/>
      <c r="B12" t="s" s="25">
        <v>23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3"/>
      <c r="R12" s="24"/>
      <c r="S12" t="s" s="25">
        <v>24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7"/>
    </row>
    <row r="13" ht="15" customHeight="1">
      <c r="A13" s="20"/>
      <c r="B13" t="s" s="89">
        <v>25</v>
      </c>
      <c r="C13" t="s" s="90">
        <v>26</v>
      </c>
      <c r="D13" t="s" s="91">
        <v>27</v>
      </c>
      <c r="E13" s="92"/>
      <c r="F13" t="s" s="91">
        <v>28</v>
      </c>
      <c r="G13" s="92"/>
      <c r="H13" s="92"/>
      <c r="I13" s="92"/>
      <c r="J13" s="92"/>
      <c r="K13" s="92"/>
      <c r="L13" s="92"/>
      <c r="M13" s="93"/>
      <c r="N13" t="s" s="91">
        <v>6</v>
      </c>
      <c r="O13" s="93"/>
      <c r="P13" s="94"/>
      <c r="Q13" s="23"/>
      <c r="R13" s="24"/>
      <c r="S13" t="s" s="95">
        <v>25</v>
      </c>
      <c r="T13" t="s" s="96">
        <v>26</v>
      </c>
      <c r="U13" t="s" s="97">
        <v>27</v>
      </c>
      <c r="V13" s="98"/>
      <c r="W13" t="s" s="97">
        <v>28</v>
      </c>
      <c r="X13" s="99"/>
      <c r="Y13" s="99"/>
      <c r="Z13" s="99"/>
      <c r="AA13" s="99"/>
      <c r="AB13" s="99"/>
      <c r="AC13" s="99"/>
      <c r="AD13" s="100"/>
      <c r="AE13" t="s" s="97">
        <v>6</v>
      </c>
      <c r="AF13" s="93"/>
      <c r="AG13" s="94"/>
      <c r="AH13" s="27"/>
    </row>
    <row r="14" ht="15" customHeight="1">
      <c r="A14" s="20"/>
      <c r="B14" s="101">
        <v>1</v>
      </c>
      <c r="C14" t="s" s="102">
        <v>29</v>
      </c>
      <c r="D14" s="103">
        <v>0.7083333333333333</v>
      </c>
      <c r="E14" s="104"/>
      <c r="F14" t="s" s="102">
        <v>30</v>
      </c>
      <c r="G14" s="105"/>
      <c r="H14" s="105"/>
      <c r="I14" t="s" s="106">
        <v>12</v>
      </c>
      <c r="J14" t="s" s="107">
        <v>31</v>
      </c>
      <c r="K14" s="108"/>
      <c r="L14" s="108"/>
      <c r="M14" s="109">
        <v>2</v>
      </c>
      <c r="N14" t="s" s="110">
        <v>12</v>
      </c>
      <c r="O14" s="109">
        <v>0</v>
      </c>
      <c r="P14" s="111"/>
      <c r="Q14" s="23"/>
      <c r="R14" s="24"/>
      <c r="S14" s="101">
        <v>3</v>
      </c>
      <c r="T14" t="s" s="102">
        <v>32</v>
      </c>
      <c r="U14" s="103">
        <v>0.7083333333333333</v>
      </c>
      <c r="V14" s="112"/>
      <c r="W14" t="s" s="102">
        <v>19</v>
      </c>
      <c r="X14" s="105"/>
      <c r="Y14" s="105"/>
      <c r="Z14" t="s" s="106">
        <v>12</v>
      </c>
      <c r="AA14" t="s" s="113">
        <v>22</v>
      </c>
      <c r="AB14" s="114"/>
      <c r="AC14" s="114"/>
      <c r="AD14" s="109">
        <v>2</v>
      </c>
      <c r="AE14" t="s" s="115">
        <v>12</v>
      </c>
      <c r="AF14" s="109">
        <v>1</v>
      </c>
      <c r="AG14" s="116"/>
      <c r="AH14" s="27"/>
    </row>
    <row r="15" ht="15" customHeight="1">
      <c r="A15" s="20"/>
      <c r="B15" s="101">
        <v>2</v>
      </c>
      <c r="C15" t="s" s="102">
        <v>32</v>
      </c>
      <c r="D15" s="103">
        <v>0.5833333333333333</v>
      </c>
      <c r="E15" s="104"/>
      <c r="F15" t="s" s="102">
        <v>33</v>
      </c>
      <c r="G15" s="105"/>
      <c r="H15" s="105"/>
      <c r="I15" t="s" s="106">
        <v>12</v>
      </c>
      <c r="J15" t="s" s="107">
        <v>34</v>
      </c>
      <c r="K15" s="108"/>
      <c r="L15" s="108"/>
      <c r="M15" s="109">
        <v>1</v>
      </c>
      <c r="N15" t="s" s="110">
        <v>12</v>
      </c>
      <c r="O15" s="109">
        <v>2</v>
      </c>
      <c r="P15" s="111"/>
      <c r="Q15" s="23"/>
      <c r="R15" s="24"/>
      <c r="S15" s="101">
        <v>4</v>
      </c>
      <c r="T15" t="s" s="102">
        <v>32</v>
      </c>
      <c r="U15" s="103">
        <v>0.8333333333333334</v>
      </c>
      <c r="V15" s="112"/>
      <c r="W15" t="s" s="102">
        <v>16</v>
      </c>
      <c r="X15" s="105"/>
      <c r="Y15" s="105"/>
      <c r="Z15" t="s" s="106">
        <v>12</v>
      </c>
      <c r="AA15" t="s" s="113">
        <v>13</v>
      </c>
      <c r="AB15" s="114"/>
      <c r="AC15" s="114"/>
      <c r="AD15" s="109">
        <v>1</v>
      </c>
      <c r="AE15" t="s" s="115">
        <v>12</v>
      </c>
      <c r="AF15" s="109">
        <v>3</v>
      </c>
      <c r="AG15" s="116"/>
      <c r="AH15" s="27"/>
    </row>
    <row r="16" ht="15" customHeight="1">
      <c r="A16" s="20"/>
      <c r="B16" s="101">
        <v>17</v>
      </c>
      <c r="C16" t="s" s="102">
        <v>35</v>
      </c>
      <c r="D16" s="103">
        <v>0.8333333333333334</v>
      </c>
      <c r="E16" s="104"/>
      <c r="F16" t="s" s="102">
        <v>30</v>
      </c>
      <c r="G16" s="105"/>
      <c r="H16" s="105"/>
      <c r="I16" t="s" s="106">
        <v>12</v>
      </c>
      <c r="J16" t="s" s="107">
        <v>33</v>
      </c>
      <c r="K16" s="108"/>
      <c r="L16" s="108"/>
      <c r="M16" s="109">
        <v>1</v>
      </c>
      <c r="N16" t="s" s="110">
        <v>12</v>
      </c>
      <c r="O16" s="109">
        <v>1</v>
      </c>
      <c r="P16" s="111"/>
      <c r="Q16" s="23"/>
      <c r="R16" s="24"/>
      <c r="S16" s="101">
        <v>19</v>
      </c>
      <c r="T16" t="s" s="102">
        <v>36</v>
      </c>
      <c r="U16" s="103">
        <v>0.5833333333333333</v>
      </c>
      <c r="V16" s="112"/>
      <c r="W16" t="s" s="102">
        <v>16</v>
      </c>
      <c r="X16" s="105"/>
      <c r="Y16" s="105"/>
      <c r="Z16" t="s" s="106">
        <v>12</v>
      </c>
      <c r="AA16" t="s" s="113">
        <v>19</v>
      </c>
      <c r="AB16" s="114"/>
      <c r="AC16" s="114"/>
      <c r="AD16" s="109">
        <v>2</v>
      </c>
      <c r="AE16" t="s" s="115">
        <v>12</v>
      </c>
      <c r="AF16" s="109">
        <v>0</v>
      </c>
      <c r="AG16" s="116"/>
      <c r="AH16" s="27"/>
    </row>
    <row r="17" ht="15" customHeight="1">
      <c r="A17" s="20"/>
      <c r="B17" s="101">
        <v>18</v>
      </c>
      <c r="C17" t="s" s="102">
        <v>36</v>
      </c>
      <c r="D17" s="103">
        <v>0.7083333333333333</v>
      </c>
      <c r="E17" s="104"/>
      <c r="F17" t="s" s="102">
        <v>34</v>
      </c>
      <c r="G17" s="105"/>
      <c r="H17" s="105"/>
      <c r="I17" t="s" s="106">
        <v>12</v>
      </c>
      <c r="J17" t="s" s="107">
        <v>31</v>
      </c>
      <c r="K17" s="108"/>
      <c r="L17" s="108"/>
      <c r="M17" s="109">
        <v>3</v>
      </c>
      <c r="N17" t="s" s="110">
        <v>12</v>
      </c>
      <c r="O17" s="109">
        <v>1</v>
      </c>
      <c r="P17" s="111"/>
      <c r="Q17" s="23"/>
      <c r="R17" s="24"/>
      <c r="S17" s="101">
        <v>20</v>
      </c>
      <c r="T17" t="s" s="102">
        <v>36</v>
      </c>
      <c r="U17" s="103">
        <v>0.8333333333333334</v>
      </c>
      <c r="V17" s="112"/>
      <c r="W17" t="s" s="102">
        <v>22</v>
      </c>
      <c r="X17" s="105"/>
      <c r="Y17" s="105"/>
      <c r="Z17" t="s" s="117">
        <v>12</v>
      </c>
      <c r="AA17" t="s" s="118">
        <v>13</v>
      </c>
      <c r="AB17" s="114"/>
      <c r="AC17" s="114"/>
      <c r="AD17" s="109">
        <v>0</v>
      </c>
      <c r="AE17" t="s" s="115">
        <v>12</v>
      </c>
      <c r="AF17" s="109">
        <v>2</v>
      </c>
      <c r="AG17" s="116"/>
      <c r="AH17" s="27"/>
    </row>
    <row r="18" ht="16" customHeight="1">
      <c r="A18" s="20"/>
      <c r="B18" s="101">
        <v>33</v>
      </c>
      <c r="C18" t="s" s="102">
        <v>37</v>
      </c>
      <c r="D18" s="103">
        <v>0.6666666666666667</v>
      </c>
      <c r="E18" s="104"/>
      <c r="F18" t="s" s="102">
        <v>34</v>
      </c>
      <c r="G18" s="105"/>
      <c r="H18" s="105"/>
      <c r="I18" t="s" s="106">
        <v>12</v>
      </c>
      <c r="J18" t="s" s="119">
        <v>30</v>
      </c>
      <c r="K18" s="120"/>
      <c r="L18" s="120"/>
      <c r="M18" s="109">
        <v>2</v>
      </c>
      <c r="N18" t="s" s="110">
        <v>12</v>
      </c>
      <c r="O18" s="109">
        <v>2</v>
      </c>
      <c r="P18" s="111"/>
      <c r="Q18" s="23"/>
      <c r="R18" s="24"/>
      <c r="S18" s="101">
        <v>35</v>
      </c>
      <c r="T18" t="s" s="102">
        <v>37</v>
      </c>
      <c r="U18" s="103">
        <v>0.8333333333333334</v>
      </c>
      <c r="V18" s="112"/>
      <c r="W18" t="s" s="102">
        <v>22</v>
      </c>
      <c r="X18" s="105"/>
      <c r="Y18" s="105"/>
      <c r="Z18" t="s" s="106">
        <v>12</v>
      </c>
      <c r="AA18" t="s" s="113">
        <v>16</v>
      </c>
      <c r="AB18" s="114"/>
      <c r="AC18" s="114"/>
      <c r="AD18" s="109">
        <v>1</v>
      </c>
      <c r="AE18" t="s" s="115">
        <v>12</v>
      </c>
      <c r="AF18" s="109">
        <v>2</v>
      </c>
      <c r="AG18" s="116"/>
      <c r="AH18" s="27"/>
    </row>
    <row r="19" ht="15" customHeight="1">
      <c r="A19" s="20"/>
      <c r="B19" s="101">
        <v>34</v>
      </c>
      <c r="C19" t="s" s="102">
        <v>37</v>
      </c>
      <c r="D19" s="103">
        <v>0.6666666666666667</v>
      </c>
      <c r="E19" s="104"/>
      <c r="F19" t="s" s="102">
        <v>31</v>
      </c>
      <c r="G19" s="105"/>
      <c r="H19" s="105"/>
      <c r="I19" t="s" s="106">
        <v>12</v>
      </c>
      <c r="J19" t="s" s="107">
        <v>33</v>
      </c>
      <c r="K19" s="108"/>
      <c r="L19" s="108"/>
      <c r="M19" s="109">
        <v>1</v>
      </c>
      <c r="N19" t="s" s="110">
        <v>12</v>
      </c>
      <c r="O19" s="109">
        <f>2</f>
        <v>2</v>
      </c>
      <c r="P19" s="111"/>
      <c r="Q19" s="23"/>
      <c r="R19" s="24"/>
      <c r="S19" s="101">
        <v>36</v>
      </c>
      <c r="T19" t="s" s="102">
        <v>37</v>
      </c>
      <c r="U19" s="103">
        <v>0.8333333333333334</v>
      </c>
      <c r="V19" s="112"/>
      <c r="W19" t="s" s="102">
        <v>13</v>
      </c>
      <c r="X19" s="105"/>
      <c r="Y19" s="105"/>
      <c r="Z19" t="s" s="106">
        <v>12</v>
      </c>
      <c r="AA19" t="s" s="113">
        <v>19</v>
      </c>
      <c r="AB19" s="114"/>
      <c r="AC19" s="114"/>
      <c r="AD19" s="109">
        <v>3</v>
      </c>
      <c r="AE19" t="s" s="115">
        <v>12</v>
      </c>
      <c r="AF19" s="109">
        <v>1</v>
      </c>
      <c r="AG19" s="116"/>
      <c r="AH19" s="27"/>
    </row>
    <row r="20" ht="15.75" customHeight="1">
      <c r="A20" s="20"/>
      <c r="B20" s="121"/>
      <c r="C20" s="122"/>
      <c r="D20" s="122"/>
      <c r="E20" s="123"/>
      <c r="F20" s="123"/>
      <c r="G20" s="123"/>
      <c r="H20" s="123"/>
      <c r="I20" s="122"/>
      <c r="J20" s="122"/>
      <c r="K20" s="122"/>
      <c r="L20" s="122"/>
      <c r="M20" s="124"/>
      <c r="N20" s="122"/>
      <c r="O20" s="124"/>
      <c r="P20" s="125"/>
      <c r="Q20" s="23"/>
      <c r="R20" s="24"/>
      <c r="S20" s="126"/>
      <c r="T20" s="127"/>
      <c r="U20" s="128"/>
      <c r="V20" s="127"/>
      <c r="W20" s="127"/>
      <c r="X20" s="127"/>
      <c r="Y20" s="127"/>
      <c r="Z20" s="127"/>
      <c r="AA20" s="127"/>
      <c r="AB20" s="127"/>
      <c r="AC20" s="127"/>
      <c r="AD20" s="129"/>
      <c r="AE20" s="127"/>
      <c r="AF20" s="129"/>
      <c r="AG20" s="130"/>
      <c r="AH20" s="27"/>
    </row>
    <row r="21" ht="15.75" customHeight="1">
      <c r="A21" s="15"/>
      <c r="B21" s="85"/>
      <c r="C21" s="85"/>
      <c r="D21" s="85"/>
      <c r="E21" s="85"/>
      <c r="F21" s="85"/>
      <c r="G21" s="85"/>
      <c r="H21" s="85"/>
      <c r="I21" s="85"/>
      <c r="J21" s="85"/>
      <c r="K21" s="131"/>
      <c r="L21" s="85"/>
      <c r="M21" s="85"/>
      <c r="N21" s="85"/>
      <c r="O21" s="85"/>
      <c r="P21" s="85"/>
      <c r="Q21" s="87"/>
      <c r="R21" s="87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8"/>
    </row>
    <row r="22" ht="20.45" customHeight="1">
      <c r="A22" s="20"/>
      <c r="B22" t="s" s="21">
        <v>38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4"/>
      <c r="S22" t="s" s="25">
        <v>39</v>
      </c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</row>
    <row r="23" ht="15" customHeight="1">
      <c r="A23" s="20"/>
      <c r="B23" s="28"/>
      <c r="C23" s="29"/>
      <c r="D23" s="29"/>
      <c r="E23" t="s" s="35">
        <v>2</v>
      </c>
      <c r="F23" t="s" s="35">
        <v>3</v>
      </c>
      <c r="G23" t="s" s="35">
        <v>4</v>
      </c>
      <c r="H23" t="s" s="132">
        <v>5</v>
      </c>
      <c r="I23" s="33"/>
      <c r="J23" s="33"/>
      <c r="K23" t="s" s="34">
        <v>6</v>
      </c>
      <c r="L23" s="33"/>
      <c r="M23" t="s" s="35">
        <v>7</v>
      </c>
      <c r="N23" t="s" s="34">
        <v>8</v>
      </c>
      <c r="O23" s="36"/>
      <c r="P23" s="133"/>
      <c r="Q23" s="23"/>
      <c r="R23" s="24"/>
      <c r="S23" s="38"/>
      <c r="T23" s="44"/>
      <c r="U23" s="44"/>
      <c r="V23" t="s" s="41">
        <v>2</v>
      </c>
      <c r="W23" t="s" s="41">
        <v>3</v>
      </c>
      <c r="X23" t="s" s="41">
        <v>4</v>
      </c>
      <c r="Y23" t="s" s="42">
        <v>5</v>
      </c>
      <c r="Z23" s="44"/>
      <c r="AA23" s="44"/>
      <c r="AB23" t="s" s="41">
        <v>6</v>
      </c>
      <c r="AC23" s="44"/>
      <c r="AD23" t="s" s="41">
        <v>7</v>
      </c>
      <c r="AE23" t="s" s="41">
        <v>8</v>
      </c>
      <c r="AF23" s="44"/>
      <c r="AG23" s="134"/>
      <c r="AH23" s="27"/>
    </row>
    <row r="24" ht="15" customHeight="1">
      <c r="A24" s="20"/>
      <c r="B24" t="s" s="46">
        <v>9</v>
      </c>
      <c r="C24" t="s" s="47">
        <f>VLOOKUP(1,'Gruppen'!$A$18:$L$21,2,FALSE)</f>
        <v>40</v>
      </c>
      <c r="D24" s="48"/>
      <c r="E24" s="55">
        <f>VLOOKUP(1,'Gruppen'!$A$18:$L$21,3,FALSE)</f>
        <v>3</v>
      </c>
      <c r="F24" s="55">
        <f>VLOOKUP(1,'Gruppen'!$A$18:$L$21,4,FALSE)</f>
        <v>3</v>
      </c>
      <c r="G24" s="55">
        <f>VLOOKUP(1,'Gruppen'!$A$18:$L$21,5,FALSE)</f>
        <v>0</v>
      </c>
      <c r="H24" t="s" s="53">
        <f>VLOOKUP(1,'Gruppen'!$A$18:$L$21,6,FALSE)</f>
        <v>11</v>
      </c>
      <c r="I24" s="51"/>
      <c r="J24" s="52">
        <f>VLOOKUP(1,'Gruppen'!$A$18:$L$21,7,FALSE)</f>
        <v>9</v>
      </c>
      <c r="K24" t="s" s="53">
        <v>12</v>
      </c>
      <c r="L24" s="54">
        <f>VLOOKUP(1,'Gruppen'!$A$18:$L$21,9,FALSE)</f>
        <v>1</v>
      </c>
      <c r="M24" s="55">
        <f>VLOOKUP(1,'Gruppen'!$A$18:$L$21,10,FALSE)</f>
        <v>8</v>
      </c>
      <c r="N24" s="55">
        <f>VLOOKUP(1,'Gruppen'!$A$18:$L$21,11,FALSE)</f>
        <v>9</v>
      </c>
      <c r="O24" s="56"/>
      <c r="P24" s="135"/>
      <c r="Q24" s="23"/>
      <c r="R24" s="24"/>
      <c r="S24" t="s" s="46">
        <v>9</v>
      </c>
      <c r="T24" t="s" s="47">
        <f>VLOOKUP(1,'Gruppen'!$A$24:$L$27,2,FALSE)</f>
        <v>41</v>
      </c>
      <c r="U24" s="48"/>
      <c r="V24" s="55">
        <f>VLOOKUP(1,'Gruppen'!$A$24:$L$27,3,FALSE)</f>
        <v>3</v>
      </c>
      <c r="W24" s="55">
        <f>VLOOKUP(1,'Gruppen'!$A$24:$L$27,4,FALSE)</f>
        <v>3</v>
      </c>
      <c r="X24" s="55">
        <f>VLOOKUP(1,'Gruppen'!$A$24:$L$27,5,FALSE)</f>
        <v>0</v>
      </c>
      <c r="Y24" t="s" s="53">
        <f>VLOOKUP(1,'Gruppen'!$A$24:$L$27,6,FALSE)</f>
        <v>11</v>
      </c>
      <c r="Z24" s="51"/>
      <c r="AA24" s="52">
        <f>VLOOKUP(1,'Gruppen'!$A$24:$L$27,7,FALSE)</f>
        <v>7</v>
      </c>
      <c r="AB24" t="s" s="53">
        <v>12</v>
      </c>
      <c r="AC24" s="54">
        <f>VLOOKUP(1,'Gruppen'!$A$24:$L$27,9,FALSE)</f>
        <v>2</v>
      </c>
      <c r="AD24" s="55">
        <f>VLOOKUP(1,'Gruppen'!$A$24:$L$27,10,FALSE)</f>
        <v>5</v>
      </c>
      <c r="AE24" s="55">
        <f>VLOOKUP(1,'Gruppen'!$A$24:$L$27,11,FALSE)</f>
        <v>9</v>
      </c>
      <c r="AF24" s="56"/>
      <c r="AG24" s="135"/>
      <c r="AH24" s="27"/>
    </row>
    <row r="25" ht="15.75" customHeight="1">
      <c r="A25" s="20"/>
      <c r="B25" t="s" s="58">
        <v>14</v>
      </c>
      <c r="C25" t="s" s="59">
        <f>VLOOKUP(2,'Gruppen'!$A$18:$L$21,2,FALSE)</f>
        <v>42</v>
      </c>
      <c r="D25" s="60"/>
      <c r="E25" s="67">
        <f>VLOOKUP(2,'Gruppen'!$A$18:$L$21,3,FALSE)</f>
        <v>3</v>
      </c>
      <c r="F25" s="67">
        <f>VLOOKUP(2,'Gruppen'!$A$18:$L$21,4,FALSE)</f>
        <v>2</v>
      </c>
      <c r="G25" s="67">
        <f>VLOOKUP(2,'Gruppen'!$A$18:$L$21,5,FALSE)</f>
        <v>0</v>
      </c>
      <c r="H25" t="s" s="65">
        <f>VLOOKUP(2,'Gruppen'!$A$18:$L$21,6,FALSE)</f>
        <v>11</v>
      </c>
      <c r="I25" s="63"/>
      <c r="J25" s="64">
        <f>VLOOKUP(2,'Gruppen'!$A$18:$L$21,7,FALSE)</f>
        <v>5</v>
      </c>
      <c r="K25" t="s" s="65">
        <v>12</v>
      </c>
      <c r="L25" s="66">
        <f>VLOOKUP(2,'Gruppen'!$A$18:$L$21,9,FALSE)</f>
        <v>4</v>
      </c>
      <c r="M25" s="67">
        <f>VLOOKUP(2,'Gruppen'!$A$18:$L$21,10,FALSE)</f>
        <v>1</v>
      </c>
      <c r="N25" s="67">
        <f>VLOOKUP(2,'Gruppen'!$A$18:$L$21,11,FALSE)</f>
        <v>6</v>
      </c>
      <c r="O25" s="68"/>
      <c r="P25" s="136"/>
      <c r="Q25" s="23"/>
      <c r="R25" s="24"/>
      <c r="S25" t="s" s="58">
        <v>14</v>
      </c>
      <c r="T25" t="s" s="59">
        <f>VLOOKUP(2,'Gruppen'!$A$24:$L$27,2,FALSE)</f>
        <v>43</v>
      </c>
      <c r="U25" s="60"/>
      <c r="V25" s="67">
        <f>VLOOKUP(2,'Gruppen'!$A$24:$L$27,3,FALSE)</f>
        <v>3</v>
      </c>
      <c r="W25" s="67">
        <f>VLOOKUP(2,'Gruppen'!$A$24:$L$27,4,FALSE)</f>
        <v>1</v>
      </c>
      <c r="X25" s="67">
        <f>VLOOKUP(2,'Gruppen'!$A$24:$L$27,5,FALSE)</f>
        <v>1</v>
      </c>
      <c r="Y25" t="s" s="65">
        <f>VLOOKUP(2,'Gruppen'!$A$24:$L$27,6,FALSE)</f>
        <v>11</v>
      </c>
      <c r="Z25" s="63"/>
      <c r="AA25" s="64">
        <f>VLOOKUP(2,'Gruppen'!$A$24:$L$27,7,FALSE)</f>
        <v>5</v>
      </c>
      <c r="AB25" t="s" s="65">
        <v>12</v>
      </c>
      <c r="AC25" s="66">
        <f>VLOOKUP(2,'Gruppen'!$A$24:$L$27,9,FALSE)</f>
        <v>5</v>
      </c>
      <c r="AD25" s="67">
        <f>VLOOKUP(2,'Gruppen'!$A$24:$L$27,10,FALSE)</f>
        <v>0</v>
      </c>
      <c r="AE25" s="67">
        <f>VLOOKUP(2,'Gruppen'!$A$24:$L$27,11,FALSE)</f>
        <v>4</v>
      </c>
      <c r="AF25" s="68"/>
      <c r="AG25" s="136"/>
      <c r="AH25" s="27"/>
    </row>
    <row r="26" ht="15" customHeight="1">
      <c r="A26" s="20"/>
      <c r="B26" t="s" s="58">
        <v>17</v>
      </c>
      <c r="C26" t="s" s="59">
        <f>VLOOKUP(3,'Gruppen'!$A$18:$L$21,2,FALSE)</f>
        <v>44</v>
      </c>
      <c r="D26" s="60"/>
      <c r="E26" s="67">
        <f>VLOOKUP(3,'Gruppen'!$A$18:$L$21,3,FALSE)</f>
        <v>3</v>
      </c>
      <c r="F26" s="67">
        <f>VLOOKUP(3,'Gruppen'!$A$18:$L$21,4,FALSE)</f>
        <v>1</v>
      </c>
      <c r="G26" s="67">
        <f>VLOOKUP(3,'Gruppen'!$A$18:$L$21,5,FALSE)</f>
        <v>0</v>
      </c>
      <c r="H26" t="s" s="65">
        <f>VLOOKUP(3,'Gruppen'!$A$18:$L$21,6,FALSE)</f>
        <v>11</v>
      </c>
      <c r="I26" s="63"/>
      <c r="J26" s="64">
        <f>VLOOKUP(3,'Gruppen'!$A$18:$L$21,7,FALSE)</f>
        <v>3</v>
      </c>
      <c r="K26" t="s" s="65">
        <v>12</v>
      </c>
      <c r="L26" s="66">
        <f>VLOOKUP(3,'Gruppen'!$A$18:$L$21,9,FALSE)</f>
        <v>6</v>
      </c>
      <c r="M26" s="67">
        <f>VLOOKUP(3,'Gruppen'!$A$18:$L$21,10,FALSE)</f>
        <v>-3</v>
      </c>
      <c r="N26" s="67">
        <f>VLOOKUP(3,'Gruppen'!$A$18:$L$21,11,FALSE)</f>
        <v>3</v>
      </c>
      <c r="O26" s="68"/>
      <c r="P26" s="136"/>
      <c r="Q26" s="23"/>
      <c r="R26" s="24"/>
      <c r="S26" t="s" s="58">
        <v>17</v>
      </c>
      <c r="T26" t="s" s="59">
        <f>VLOOKUP(3,'Gruppen'!$A$24:$L$27,2,FALSE)</f>
        <v>45</v>
      </c>
      <c r="U26" s="60"/>
      <c r="V26" s="67">
        <f>VLOOKUP(3,'Gruppen'!$A$24:$L$27,3,FALSE)</f>
        <v>3</v>
      </c>
      <c r="W26" s="67">
        <f>VLOOKUP(3,'Gruppen'!$A$24:$L$27,4,FALSE)</f>
        <v>1</v>
      </c>
      <c r="X26" s="67">
        <f>VLOOKUP(3,'Gruppen'!$A$24:$L$27,5,FALSE)</f>
        <v>1</v>
      </c>
      <c r="Y26" t="s" s="65">
        <f>VLOOKUP(3,'Gruppen'!$A$24:$L$27,6,FALSE)</f>
        <v>11</v>
      </c>
      <c r="Z26" s="63"/>
      <c r="AA26" s="64">
        <f>VLOOKUP(3,'Gruppen'!$A$24:$L$27,7,FALSE)</f>
        <v>4</v>
      </c>
      <c r="AB26" t="s" s="65">
        <v>12</v>
      </c>
      <c r="AC26" s="66">
        <f>VLOOKUP(3,'Gruppen'!$A$24:$L$27,9,FALSE)</f>
        <v>4</v>
      </c>
      <c r="AD26" s="67">
        <f>VLOOKUP(3,'Gruppen'!$A$24:$L$27,10,FALSE)</f>
        <v>0</v>
      </c>
      <c r="AE26" s="67">
        <f>VLOOKUP(3,'Gruppen'!$A$24:$L$27,11,FALSE)</f>
        <v>4</v>
      </c>
      <c r="AF26" s="68"/>
      <c r="AG26" s="136"/>
      <c r="AH26" s="27"/>
    </row>
    <row r="27" ht="15.75" customHeight="1">
      <c r="A27" s="20"/>
      <c r="B27" t="s" s="70">
        <v>20</v>
      </c>
      <c r="C27" t="s" s="71">
        <f>VLOOKUP(4,'Gruppen'!$A$18:$L$21,2,FALSE)</f>
        <v>46</v>
      </c>
      <c r="D27" s="72"/>
      <c r="E27" s="79">
        <f>VLOOKUP(4,'Gruppen'!$A$18:$L$21,3,FALSE)</f>
        <v>3</v>
      </c>
      <c r="F27" s="79">
        <f>VLOOKUP(4,'Gruppen'!$A$18:$L$21,4,FALSE)</f>
        <v>0</v>
      </c>
      <c r="G27" s="79">
        <f>VLOOKUP(4,'Gruppen'!$A$18:$L$21,5,FALSE)</f>
        <v>0</v>
      </c>
      <c r="H27" t="s" s="77">
        <f>VLOOKUP(4,'Gruppen'!$A$18:$L$21,6,FALSE)</f>
        <v>11</v>
      </c>
      <c r="I27" s="75"/>
      <c r="J27" s="76">
        <f>VLOOKUP(4,'Gruppen'!$A$18:$L$21,7,FALSE)</f>
        <v>1</v>
      </c>
      <c r="K27" t="s" s="77">
        <v>12</v>
      </c>
      <c r="L27" s="78">
        <f>VLOOKUP(4,'Gruppen'!$A$18:$L$21,9,FALSE)</f>
        <v>7</v>
      </c>
      <c r="M27" s="79">
        <f>VLOOKUP(4,'Gruppen'!$A$18:$L$21,10,FALSE)</f>
        <v>-6</v>
      </c>
      <c r="N27" s="79">
        <f>VLOOKUP(4,'Gruppen'!$A$18:$L$21,11,FALSE)</f>
        <v>0</v>
      </c>
      <c r="O27" s="80"/>
      <c r="P27" s="137"/>
      <c r="Q27" s="23"/>
      <c r="R27" s="24"/>
      <c r="S27" t="s" s="70">
        <v>20</v>
      </c>
      <c r="T27" t="s" s="71">
        <f>VLOOKUP(4,'Gruppen'!$A$24:$L$27,2,FALSE)</f>
        <v>47</v>
      </c>
      <c r="U27" s="72"/>
      <c r="V27" s="79">
        <f>VLOOKUP(4,'Gruppen'!$A$24:$L$27,3,FALSE)</f>
        <v>3</v>
      </c>
      <c r="W27" s="79">
        <f>VLOOKUP(4,'Gruppen'!$A$24:$L$27,4,FALSE)</f>
        <v>0</v>
      </c>
      <c r="X27" s="79">
        <f>VLOOKUP(4,'Gruppen'!$A$24:$L$27,5,FALSE)</f>
        <v>0</v>
      </c>
      <c r="Y27" t="s" s="77">
        <f>VLOOKUP(4,'Gruppen'!$A$24:$L$27,6,FALSE)</f>
        <v>11</v>
      </c>
      <c r="Z27" s="75"/>
      <c r="AA27" s="76">
        <f>VLOOKUP(4,'Gruppen'!$A$24:$L$27,7,FALSE)</f>
        <v>2</v>
      </c>
      <c r="AB27" t="s" s="77">
        <v>12</v>
      </c>
      <c r="AC27" s="78">
        <f>VLOOKUP(4,'Gruppen'!$A$24:$L$27,9,FALSE)</f>
        <v>7</v>
      </c>
      <c r="AD27" s="79">
        <f>VLOOKUP(4,'Gruppen'!$A$24:$L$27,10,FALSE)</f>
        <v>-5</v>
      </c>
      <c r="AE27" s="79">
        <f>VLOOKUP(4,'Gruppen'!$A$24:$L$27,11,FALSE)</f>
        <v>0</v>
      </c>
      <c r="AF27" s="80"/>
      <c r="AG27" s="137"/>
      <c r="AH27" s="27"/>
    </row>
    <row r="28" ht="15.75" customHeight="1">
      <c r="A28" s="15"/>
      <c r="B28" s="82"/>
      <c r="C28" s="83"/>
      <c r="D28" s="83"/>
      <c r="E28" s="86"/>
      <c r="F28" s="86"/>
      <c r="G28" s="86"/>
      <c r="H28" s="86"/>
      <c r="I28" s="85"/>
      <c r="J28" s="85"/>
      <c r="K28" s="86"/>
      <c r="L28" s="83"/>
      <c r="M28" s="85"/>
      <c r="N28" s="85"/>
      <c r="O28" s="86"/>
      <c r="P28" s="85"/>
      <c r="Q28" s="87"/>
      <c r="R28" s="87"/>
      <c r="S28" s="138"/>
      <c r="T28" s="139"/>
      <c r="U28" s="139"/>
      <c r="V28" s="140"/>
      <c r="W28" s="140"/>
      <c r="X28" s="140"/>
      <c r="Y28" s="140"/>
      <c r="Z28" s="141"/>
      <c r="AA28" s="141"/>
      <c r="AB28" s="140"/>
      <c r="AC28" s="139"/>
      <c r="AD28" s="140"/>
      <c r="AE28" s="140"/>
      <c r="AF28" s="140"/>
      <c r="AG28" s="141"/>
      <c r="AH28" s="88"/>
    </row>
    <row r="29" ht="30" customHeight="1">
      <c r="A29" s="20"/>
      <c r="B29" t="s" s="25">
        <v>48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3"/>
      <c r="R29" s="24"/>
      <c r="S29" t="s" s="142">
        <v>49</v>
      </c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27"/>
    </row>
    <row r="30" ht="15.75" customHeight="1">
      <c r="A30" s="20"/>
      <c r="B30" t="s" s="89">
        <v>25</v>
      </c>
      <c r="C30" t="s" s="90">
        <v>26</v>
      </c>
      <c r="D30" t="s" s="91">
        <v>27</v>
      </c>
      <c r="E30" s="144"/>
      <c r="F30" t="s" s="91">
        <v>28</v>
      </c>
      <c r="G30" s="92"/>
      <c r="H30" s="92"/>
      <c r="I30" s="92"/>
      <c r="J30" s="92"/>
      <c r="K30" s="92"/>
      <c r="L30" s="92"/>
      <c r="M30" s="93"/>
      <c r="N30" t="s" s="145">
        <v>6</v>
      </c>
      <c r="O30" s="93"/>
      <c r="P30" s="146"/>
      <c r="Q30" s="23"/>
      <c r="R30" s="24"/>
      <c r="S30" t="s" s="89">
        <v>25</v>
      </c>
      <c r="T30" t="s" s="90">
        <v>26</v>
      </c>
      <c r="U30" t="s" s="91">
        <v>27</v>
      </c>
      <c r="V30" s="92"/>
      <c r="W30" t="s" s="91">
        <v>28</v>
      </c>
      <c r="X30" s="92"/>
      <c r="Y30" s="92"/>
      <c r="Z30" s="92"/>
      <c r="AA30" s="92"/>
      <c r="AB30" s="92"/>
      <c r="AC30" s="92"/>
      <c r="AD30" s="147"/>
      <c r="AE30" t="s" s="91">
        <v>6</v>
      </c>
      <c r="AF30" s="148"/>
      <c r="AG30" s="146"/>
      <c r="AH30" s="149"/>
    </row>
    <row r="31" ht="15" customHeight="1">
      <c r="A31" s="20"/>
      <c r="B31" s="101">
        <v>5</v>
      </c>
      <c r="C31" t="s" s="102">
        <v>50</v>
      </c>
      <c r="D31" s="103">
        <v>0.5</v>
      </c>
      <c r="E31" s="112"/>
      <c r="F31" t="s" s="102">
        <v>40</v>
      </c>
      <c r="G31" s="105"/>
      <c r="H31" s="105"/>
      <c r="I31" t="s" s="106">
        <v>12</v>
      </c>
      <c r="J31" t="s" s="113">
        <v>46</v>
      </c>
      <c r="K31" s="114"/>
      <c r="L31" s="114"/>
      <c r="M31" s="109">
        <v>3</v>
      </c>
      <c r="N31" t="s" s="115">
        <v>12</v>
      </c>
      <c r="O31" s="109">
        <v>0</v>
      </c>
      <c r="P31" s="116"/>
      <c r="Q31" s="23"/>
      <c r="R31" s="24"/>
      <c r="S31" s="150">
        <v>7</v>
      </c>
      <c r="T31" t="s" s="102">
        <v>50</v>
      </c>
      <c r="U31" s="103">
        <v>0.625</v>
      </c>
      <c r="V31" s="112"/>
      <c r="W31" t="s" s="151">
        <v>51</v>
      </c>
      <c r="X31" s="152"/>
      <c r="Y31" s="152"/>
      <c r="Z31" t="s" s="106">
        <v>12</v>
      </c>
      <c r="AA31" t="s" s="153">
        <v>47</v>
      </c>
      <c r="AB31" s="154"/>
      <c r="AC31" s="154"/>
      <c r="AD31" s="109">
        <v>2</v>
      </c>
      <c r="AE31" t="s" s="115">
        <v>12</v>
      </c>
      <c r="AF31" s="109">
        <v>0</v>
      </c>
      <c r="AG31" s="116"/>
      <c r="AH31" s="27"/>
    </row>
    <row r="32" ht="15" customHeight="1">
      <c r="A32" s="20"/>
      <c r="B32" s="101">
        <v>6</v>
      </c>
      <c r="C32" t="s" s="102">
        <v>50</v>
      </c>
      <c r="D32" s="103">
        <v>0.75</v>
      </c>
      <c r="E32" s="112"/>
      <c r="F32" t="s" s="102">
        <v>44</v>
      </c>
      <c r="G32" s="105"/>
      <c r="H32" s="105"/>
      <c r="I32" t="s" s="106">
        <v>12</v>
      </c>
      <c r="J32" t="s" s="113">
        <v>42</v>
      </c>
      <c r="K32" s="114"/>
      <c r="L32" s="114"/>
      <c r="M32" s="109">
        <v>1</v>
      </c>
      <c r="N32" t="s" s="115">
        <v>12</v>
      </c>
      <c r="O32" s="109">
        <v>2</v>
      </c>
      <c r="P32" s="116"/>
      <c r="Q32" s="23"/>
      <c r="R32" s="24"/>
      <c r="S32" s="150">
        <v>8</v>
      </c>
      <c r="T32" t="s" s="102">
        <v>50</v>
      </c>
      <c r="U32" s="103">
        <v>0.875</v>
      </c>
      <c r="V32" s="112"/>
      <c r="W32" t="s" s="151">
        <v>43</v>
      </c>
      <c r="X32" s="152"/>
      <c r="Y32" s="152"/>
      <c r="Z32" t="s" s="106">
        <v>12</v>
      </c>
      <c r="AA32" t="s" s="153">
        <v>45</v>
      </c>
      <c r="AB32" s="154"/>
      <c r="AC32" s="154"/>
      <c r="AD32" s="109">
        <v>1</v>
      </c>
      <c r="AE32" t="s" s="115">
        <v>12</v>
      </c>
      <c r="AF32" s="109">
        <v>1</v>
      </c>
      <c r="AG32" s="116"/>
      <c r="AH32" s="27"/>
    </row>
    <row r="33" ht="15" customHeight="1">
      <c r="A33" s="20"/>
      <c r="B33" s="101">
        <v>21</v>
      </c>
      <c r="C33" t="s" s="102">
        <v>52</v>
      </c>
      <c r="D33" s="103">
        <v>0.5833333333333333</v>
      </c>
      <c r="E33" s="112"/>
      <c r="F33" t="s" s="102">
        <v>42</v>
      </c>
      <c r="G33" s="105"/>
      <c r="H33" s="105"/>
      <c r="I33" t="s" s="106">
        <v>12</v>
      </c>
      <c r="J33" t="s" s="113">
        <v>46</v>
      </c>
      <c r="K33" s="114"/>
      <c r="L33" s="114"/>
      <c r="M33" s="109">
        <v>2</v>
      </c>
      <c r="N33" t="s" s="115">
        <v>12</v>
      </c>
      <c r="O33" s="109">
        <v>0</v>
      </c>
      <c r="P33" s="116"/>
      <c r="Q33" s="23"/>
      <c r="R33" s="24"/>
      <c r="S33" s="150">
        <v>23</v>
      </c>
      <c r="T33" t="s" s="102">
        <v>52</v>
      </c>
      <c r="U33" s="103">
        <v>0.8333333333333334</v>
      </c>
      <c r="V33" s="112"/>
      <c r="W33" t="s" s="151">
        <v>51</v>
      </c>
      <c r="X33" s="152"/>
      <c r="Y33" s="152"/>
      <c r="Z33" t="s" s="106">
        <v>12</v>
      </c>
      <c r="AA33" t="s" s="153">
        <v>43</v>
      </c>
      <c r="AB33" s="154"/>
      <c r="AC33" s="154"/>
      <c r="AD33" s="109">
        <v>3</v>
      </c>
      <c r="AE33" t="s" s="115">
        <v>12</v>
      </c>
      <c r="AF33" s="109">
        <v>1</v>
      </c>
      <c r="AG33" s="116"/>
      <c r="AH33" s="27"/>
    </row>
    <row r="34" ht="15" customHeight="1">
      <c r="A34" s="20"/>
      <c r="B34" s="101">
        <v>22</v>
      </c>
      <c r="C34" t="s" s="102">
        <v>52</v>
      </c>
      <c r="D34" s="103">
        <v>0.7083333333333333</v>
      </c>
      <c r="E34" s="112"/>
      <c r="F34" t="s" s="102">
        <v>40</v>
      </c>
      <c r="G34" s="105"/>
      <c r="H34" s="105"/>
      <c r="I34" t="s" s="106">
        <v>12</v>
      </c>
      <c r="J34" t="s" s="113">
        <v>44</v>
      </c>
      <c r="K34" s="114"/>
      <c r="L34" s="114"/>
      <c r="M34" s="109">
        <v>3</v>
      </c>
      <c r="N34" t="s" s="115">
        <v>12</v>
      </c>
      <c r="O34" s="109">
        <v>0</v>
      </c>
      <c r="P34" s="116"/>
      <c r="Q34" s="23"/>
      <c r="R34" s="24"/>
      <c r="S34" s="150">
        <v>24</v>
      </c>
      <c r="T34" t="s" s="102">
        <v>53</v>
      </c>
      <c r="U34" s="103">
        <v>0.7083333333333333</v>
      </c>
      <c r="V34" s="112"/>
      <c r="W34" t="s" s="151">
        <v>45</v>
      </c>
      <c r="X34" s="152"/>
      <c r="Y34" s="152"/>
      <c r="Z34" t="s" s="106">
        <v>12</v>
      </c>
      <c r="AA34" t="s" s="153">
        <v>47</v>
      </c>
      <c r="AB34" s="154"/>
      <c r="AC34" s="154"/>
      <c r="AD34" s="109">
        <v>2</v>
      </c>
      <c r="AE34" t="s" s="115">
        <v>12</v>
      </c>
      <c r="AF34" s="109">
        <v>1</v>
      </c>
      <c r="AG34" s="116"/>
      <c r="AH34" s="27"/>
    </row>
    <row r="35" ht="15" customHeight="1">
      <c r="A35" s="20"/>
      <c r="B35" s="101">
        <v>37</v>
      </c>
      <c r="C35" t="s" s="102">
        <v>54</v>
      </c>
      <c r="D35" s="103">
        <v>0.6666666666666667</v>
      </c>
      <c r="E35" s="112"/>
      <c r="F35" t="s" s="102">
        <v>42</v>
      </c>
      <c r="G35" s="105"/>
      <c r="H35" s="105"/>
      <c r="I35" t="s" s="106">
        <v>12</v>
      </c>
      <c r="J35" t="s" s="113">
        <v>40</v>
      </c>
      <c r="K35" s="114"/>
      <c r="L35" s="114"/>
      <c r="M35" s="109">
        <v>1</v>
      </c>
      <c r="N35" t="s" s="115">
        <v>12</v>
      </c>
      <c r="O35" s="109">
        <v>3</v>
      </c>
      <c r="P35" s="116"/>
      <c r="Q35" s="23"/>
      <c r="R35" s="24"/>
      <c r="S35" s="150">
        <v>39</v>
      </c>
      <c r="T35" t="s" s="102">
        <v>54</v>
      </c>
      <c r="U35" s="103">
        <v>0.8333333333333334</v>
      </c>
      <c r="V35" s="112"/>
      <c r="W35" t="s" s="151">
        <v>45</v>
      </c>
      <c r="X35" s="152"/>
      <c r="Y35" s="152"/>
      <c r="Z35" t="s" s="106">
        <v>12</v>
      </c>
      <c r="AA35" t="s" s="153">
        <v>51</v>
      </c>
      <c r="AB35" s="154"/>
      <c r="AC35" s="154"/>
      <c r="AD35" s="109">
        <v>1</v>
      </c>
      <c r="AE35" t="s" s="115">
        <v>12</v>
      </c>
      <c r="AF35" s="109">
        <v>2</v>
      </c>
      <c r="AG35" s="116"/>
      <c r="AH35" s="27"/>
    </row>
    <row r="36" ht="15" customHeight="1">
      <c r="A36" s="20"/>
      <c r="B36" s="101">
        <v>38</v>
      </c>
      <c r="C36" t="s" s="102">
        <v>54</v>
      </c>
      <c r="D36" s="103">
        <v>0.6666666666666667</v>
      </c>
      <c r="E36" s="112"/>
      <c r="F36" t="s" s="102">
        <v>46</v>
      </c>
      <c r="G36" s="105"/>
      <c r="H36" s="105"/>
      <c r="I36" t="s" s="106">
        <v>12</v>
      </c>
      <c r="J36" t="s" s="113">
        <v>44</v>
      </c>
      <c r="K36" s="114"/>
      <c r="L36" s="114"/>
      <c r="M36" s="109">
        <v>1</v>
      </c>
      <c r="N36" t="s" s="115">
        <v>12</v>
      </c>
      <c r="O36" s="109">
        <v>2</v>
      </c>
      <c r="P36" s="116"/>
      <c r="Q36" s="23"/>
      <c r="R36" s="24"/>
      <c r="S36" s="150">
        <v>40</v>
      </c>
      <c r="T36" t="s" s="102">
        <v>54</v>
      </c>
      <c r="U36" s="103">
        <v>0.8333333333333334</v>
      </c>
      <c r="V36" s="112"/>
      <c r="W36" t="s" s="151">
        <v>47</v>
      </c>
      <c r="X36" s="152"/>
      <c r="Y36" s="152"/>
      <c r="Z36" t="s" s="106">
        <v>12</v>
      </c>
      <c r="AA36" t="s" s="153">
        <v>43</v>
      </c>
      <c r="AB36" s="154"/>
      <c r="AC36" s="154"/>
      <c r="AD36" s="109">
        <v>1</v>
      </c>
      <c r="AE36" t="s" s="115">
        <v>12</v>
      </c>
      <c r="AF36" s="109">
        <v>3</v>
      </c>
      <c r="AG36" s="116"/>
      <c r="AH36" s="27"/>
    </row>
    <row r="37" ht="15.75" customHeight="1">
      <c r="A37" s="20"/>
      <c r="B37" s="126"/>
      <c r="C37" s="127"/>
      <c r="D37" s="128"/>
      <c r="E37" s="127"/>
      <c r="F37" s="127"/>
      <c r="G37" s="127"/>
      <c r="H37" s="127"/>
      <c r="I37" s="127"/>
      <c r="J37" s="127"/>
      <c r="K37" s="127"/>
      <c r="L37" s="127"/>
      <c r="M37" s="129"/>
      <c r="N37" s="127"/>
      <c r="O37" s="129"/>
      <c r="P37" s="130"/>
      <c r="Q37" s="23"/>
      <c r="R37" s="24"/>
      <c r="S37" s="126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9"/>
      <c r="AE37" s="127"/>
      <c r="AF37" s="129"/>
      <c r="AG37" s="130"/>
      <c r="AH37" s="27"/>
    </row>
    <row r="38" ht="15.75" customHeight="1">
      <c r="A38" s="1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7"/>
      <c r="R38" s="87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8"/>
    </row>
    <row r="39" ht="21" customHeight="1">
      <c r="A39" s="20"/>
      <c r="B39" t="s" s="25">
        <v>55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3"/>
      <c r="R39" s="24"/>
      <c r="S39" t="s" s="25">
        <v>56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7"/>
    </row>
    <row r="40" ht="15" customHeight="1">
      <c r="A40" s="20"/>
      <c r="B40" s="38"/>
      <c r="C40" s="44"/>
      <c r="D40" s="44"/>
      <c r="E40" t="s" s="41">
        <v>2</v>
      </c>
      <c r="F40" t="s" s="41">
        <v>3</v>
      </c>
      <c r="G40" t="s" s="41">
        <v>4</v>
      </c>
      <c r="H40" t="s" s="42">
        <v>5</v>
      </c>
      <c r="I40" s="44"/>
      <c r="J40" s="44"/>
      <c r="K40" t="s" s="41">
        <v>6</v>
      </c>
      <c r="L40" s="44"/>
      <c r="M40" t="s" s="41">
        <v>7</v>
      </c>
      <c r="N40" t="s" s="41">
        <v>8</v>
      </c>
      <c r="O40" s="44"/>
      <c r="P40" s="155"/>
      <c r="Q40" s="23"/>
      <c r="R40" s="24"/>
      <c r="S40" s="38"/>
      <c r="T40" s="39"/>
      <c r="U40" s="39"/>
      <c r="V40" t="s" s="41">
        <v>2</v>
      </c>
      <c r="W40" t="s" s="41">
        <v>3</v>
      </c>
      <c r="X40" t="s" s="41">
        <v>4</v>
      </c>
      <c r="Y40" t="s" s="42">
        <v>5</v>
      </c>
      <c r="Z40" s="44"/>
      <c r="AA40" s="44"/>
      <c r="AB40" t="s" s="41">
        <v>6</v>
      </c>
      <c r="AC40" s="44"/>
      <c r="AD40" t="s" s="41">
        <v>7</v>
      </c>
      <c r="AE40" t="s" s="41">
        <v>8</v>
      </c>
      <c r="AF40" s="44"/>
      <c r="AG40" s="155"/>
      <c r="AH40" s="27"/>
    </row>
    <row r="41" ht="15" customHeight="1">
      <c r="A41" s="20"/>
      <c r="B41" t="s" s="46">
        <v>9</v>
      </c>
      <c r="C41" t="s" s="47">
        <f>VLOOKUP(1,'Gruppen'!$A$30:$L$33,2,FALSE)</f>
        <v>57</v>
      </c>
      <c r="D41" s="48"/>
      <c r="E41" s="55">
        <f>VLOOKUP(1,'Gruppen'!$A$30:$L$33,3,FALSE)</f>
        <v>3</v>
      </c>
      <c r="F41" s="55">
        <f>VLOOKUP(1,'Gruppen'!$A$30:$L$33,4,FALSE)</f>
        <v>3</v>
      </c>
      <c r="G41" s="55">
        <f>VLOOKUP(1,'Gruppen'!$A$30:$L$33,5,FALSE)</f>
        <v>0</v>
      </c>
      <c r="H41" t="s" s="53">
        <f>VLOOKUP(1,'Gruppen'!$A$30:$L$33,6,FALSE)</f>
        <v>11</v>
      </c>
      <c r="I41" s="56"/>
      <c r="J41" s="52">
        <f>VLOOKUP(1,'Gruppen'!$A$30:$L$33,7,FALSE)</f>
        <v>7</v>
      </c>
      <c r="K41" t="s" s="53">
        <v>12</v>
      </c>
      <c r="L41" s="54">
        <f>VLOOKUP(1,'Gruppen'!$A$30:$L$33,9,FALSE)</f>
        <v>1</v>
      </c>
      <c r="M41" s="55">
        <f>VLOOKUP(1,'Gruppen'!$A$30:$L$33,10,FALSE)</f>
        <v>6</v>
      </c>
      <c r="N41" s="55">
        <f>VLOOKUP(1,'Gruppen'!$A$30:$L$33,11,FALSE)</f>
        <v>9</v>
      </c>
      <c r="O41" s="56"/>
      <c r="P41" s="135"/>
      <c r="Q41" s="23"/>
      <c r="R41" s="24"/>
      <c r="S41" t="s" s="46">
        <v>9</v>
      </c>
      <c r="T41" t="s" s="47">
        <f>VLOOKUP(1,'Gruppen'!$A$36:$L$39,2,FALSE)</f>
        <v>58</v>
      </c>
      <c r="U41" s="48"/>
      <c r="V41" s="55">
        <f>VLOOKUP(1,'Gruppen'!$A$36:$L$39,3,FALSE)</f>
        <v>3</v>
      </c>
      <c r="W41" s="55">
        <f>VLOOKUP(1,'Gruppen'!$A$36:$L$39,4,FALSE)</f>
        <v>3</v>
      </c>
      <c r="X41" s="55">
        <f>VLOOKUP(1,'Gruppen'!$A$36:$L$39,5,FALSE)</f>
        <v>0</v>
      </c>
      <c r="Y41" t="s" s="53">
        <f>VLOOKUP(1,'Gruppen'!$A$36:$L$39,6,FALSE)</f>
        <v>11</v>
      </c>
      <c r="Z41" s="51"/>
      <c r="AA41" s="52">
        <f>VLOOKUP(1,'Gruppen'!$A$36:$L$39,7,FALSE)</f>
        <v>8</v>
      </c>
      <c r="AB41" t="s" s="53">
        <v>12</v>
      </c>
      <c r="AC41" s="54">
        <f>VLOOKUP(1,'Gruppen'!$A$36:$L$39,9,FALSE)</f>
        <v>2</v>
      </c>
      <c r="AD41" s="55">
        <f>VLOOKUP(1,'Gruppen'!$A$36:$L$39,10,FALSE)</f>
        <v>6</v>
      </c>
      <c r="AE41" s="55">
        <f>VLOOKUP(1,'Gruppen'!$A$36:$L$39,11,FALSE)</f>
        <v>9</v>
      </c>
      <c r="AF41" s="56"/>
      <c r="AG41" s="135"/>
      <c r="AH41" s="27"/>
    </row>
    <row r="42" ht="15" customHeight="1">
      <c r="A42" s="20"/>
      <c r="B42" t="s" s="58">
        <v>14</v>
      </c>
      <c r="C42" t="s" s="59">
        <f>VLOOKUP(2,'Gruppen'!$A$30:$L$33,2,FALSE)</f>
        <v>59</v>
      </c>
      <c r="D42" s="60"/>
      <c r="E42" s="67">
        <f>VLOOKUP(2,'Gruppen'!$A$30:$L$33,3,FALSE)</f>
        <v>3</v>
      </c>
      <c r="F42" s="67">
        <f>VLOOKUP(2,'Gruppen'!$A$30:$L$33,4,FALSE)</f>
        <v>2</v>
      </c>
      <c r="G42" s="67">
        <f>VLOOKUP(2,'Gruppen'!$A$30:$L$33,5,FALSE)</f>
        <v>0</v>
      </c>
      <c r="H42" t="s" s="65">
        <f>VLOOKUP(2,'Gruppen'!$A$30:$L$33,6,FALSE)</f>
        <v>11</v>
      </c>
      <c r="I42" s="68"/>
      <c r="J42" s="64">
        <f>VLOOKUP(2,'Gruppen'!$A$30:$L$33,7,FALSE)</f>
        <v>4</v>
      </c>
      <c r="K42" t="s" s="65">
        <v>12</v>
      </c>
      <c r="L42" s="66">
        <f>VLOOKUP(2,'Gruppen'!$A$30:$L$33,9,FALSE)</f>
        <v>4</v>
      </c>
      <c r="M42" s="67">
        <f>VLOOKUP(2,'Gruppen'!$A$30:$L$33,10,FALSE)</f>
        <v>0</v>
      </c>
      <c r="N42" s="67">
        <f>VLOOKUP(2,'Gruppen'!$A$30:$L$33,11,FALSE)</f>
        <v>6</v>
      </c>
      <c r="O42" s="68"/>
      <c r="P42" s="136"/>
      <c r="Q42" s="23"/>
      <c r="R42" s="24"/>
      <c r="S42" t="s" s="58">
        <v>14</v>
      </c>
      <c r="T42" t="s" s="59">
        <f>VLOOKUP(2,'Gruppen'!$A$36:$L$39,2,FALSE)</f>
        <v>60</v>
      </c>
      <c r="U42" s="60"/>
      <c r="V42" s="67">
        <f>VLOOKUP(2,'Gruppen'!$A$36:$L$39,3,FALSE)</f>
        <v>3</v>
      </c>
      <c r="W42" s="67">
        <f>VLOOKUP(2,'Gruppen'!$A$36:$L$39,4,FALSE)</f>
        <v>2</v>
      </c>
      <c r="X42" s="67">
        <f>VLOOKUP(2,'Gruppen'!$A$36:$L$39,5,FALSE)</f>
        <v>0</v>
      </c>
      <c r="Y42" t="s" s="65">
        <f>VLOOKUP(2,'Gruppen'!$A$36:$L$39,6,FALSE)</f>
        <v>11</v>
      </c>
      <c r="Z42" s="63"/>
      <c r="AA42" s="64">
        <f>VLOOKUP(2,'Gruppen'!$A$36:$L$39,7,FALSE)</f>
        <v>6</v>
      </c>
      <c r="AB42" t="s" s="65">
        <v>12</v>
      </c>
      <c r="AC42" s="66">
        <f>VLOOKUP(2,'Gruppen'!$A$36:$L$39,9,FALSE)</f>
        <v>5</v>
      </c>
      <c r="AD42" s="67">
        <f>VLOOKUP(2,'Gruppen'!$A$36:$L$39,10,FALSE)</f>
        <v>1</v>
      </c>
      <c r="AE42" s="67">
        <f>VLOOKUP(2,'Gruppen'!$A$36:$L$39,11,FALSE)</f>
        <v>6</v>
      </c>
      <c r="AF42" s="68"/>
      <c r="AG42" s="136"/>
      <c r="AH42" s="27"/>
    </row>
    <row r="43" ht="15" customHeight="1">
      <c r="A43" s="20"/>
      <c r="B43" t="s" s="58">
        <v>17</v>
      </c>
      <c r="C43" t="s" s="59">
        <f>VLOOKUP(3,'Gruppen'!$A$30:$L$33,2,FALSE)</f>
        <v>61</v>
      </c>
      <c r="D43" s="60"/>
      <c r="E43" s="67">
        <f>VLOOKUP(3,'Gruppen'!$A$30:$L$33,3,FALSE)</f>
        <v>3</v>
      </c>
      <c r="F43" s="67">
        <f>VLOOKUP(3,'Gruppen'!$A$30:$L$33,4,FALSE)</f>
        <v>1</v>
      </c>
      <c r="G43" s="67">
        <f>VLOOKUP(3,'Gruppen'!$A$30:$L$33,5,FALSE)</f>
        <v>0</v>
      </c>
      <c r="H43" t="s" s="65">
        <f>VLOOKUP(3,'Gruppen'!$A$30:$L$33,6,FALSE)</f>
        <v>11</v>
      </c>
      <c r="I43" s="68"/>
      <c r="J43" s="64">
        <f>VLOOKUP(3,'Gruppen'!$A$30:$L$33,7,FALSE)</f>
        <v>3</v>
      </c>
      <c r="K43" t="s" s="65">
        <v>12</v>
      </c>
      <c r="L43" s="66">
        <f>VLOOKUP(3,'Gruppen'!$A$30:$L$33,9,FALSE)</f>
        <v>4</v>
      </c>
      <c r="M43" s="67">
        <f>VLOOKUP(3,'Gruppen'!$A$30:$L$33,10,FALSE)</f>
        <v>-1</v>
      </c>
      <c r="N43" s="67">
        <f>VLOOKUP(3,'Gruppen'!$A$30:$L$33,11,FALSE)</f>
        <v>3</v>
      </c>
      <c r="O43" s="68"/>
      <c r="P43" s="136"/>
      <c r="Q43" s="23"/>
      <c r="R43" s="24"/>
      <c r="S43" t="s" s="58">
        <v>17</v>
      </c>
      <c r="T43" t="s" s="59">
        <f>VLOOKUP(3,'Gruppen'!$A$36:$L$39,2,FALSE)</f>
        <v>62</v>
      </c>
      <c r="U43" s="60"/>
      <c r="V43" s="67">
        <f>VLOOKUP(3,'Gruppen'!$A$36:$L$39,3,FALSE)</f>
        <v>3</v>
      </c>
      <c r="W43" s="67">
        <f>VLOOKUP(3,'Gruppen'!$A$36:$L$39,4,FALSE)</f>
        <v>0</v>
      </c>
      <c r="X43" s="67">
        <f>VLOOKUP(3,'Gruppen'!$A$36:$L$39,5,FALSE)</f>
        <v>1</v>
      </c>
      <c r="Y43" t="s" s="65">
        <f>VLOOKUP(3,'Gruppen'!$A$36:$L$39,6,FALSE)</f>
        <v>11</v>
      </c>
      <c r="Z43" s="63"/>
      <c r="AA43" s="64">
        <f>VLOOKUP(3,'Gruppen'!$A$36:$L$39,7,FALSE)</f>
        <v>4</v>
      </c>
      <c r="AB43" t="s" s="65">
        <v>12</v>
      </c>
      <c r="AC43" s="66">
        <f>VLOOKUP(3,'Gruppen'!$A$36:$L$39,9,FALSE)</f>
        <v>7</v>
      </c>
      <c r="AD43" s="67">
        <f>VLOOKUP(3,'Gruppen'!$A$36:$L$39,10,FALSE)</f>
        <v>-3</v>
      </c>
      <c r="AE43" s="67">
        <f>VLOOKUP(3,'Gruppen'!$A$36:$L$39,11,FALSE)</f>
        <v>1</v>
      </c>
      <c r="AF43" s="68"/>
      <c r="AG43" s="136"/>
      <c r="AH43" s="27"/>
    </row>
    <row r="44" ht="15.75" customHeight="1">
      <c r="A44" s="20"/>
      <c r="B44" t="s" s="70">
        <v>20</v>
      </c>
      <c r="C44" t="s" s="71">
        <f>VLOOKUP(4,'Gruppen'!$A$30:$L$33,2,FALSE)</f>
        <v>63</v>
      </c>
      <c r="D44" s="72"/>
      <c r="E44" s="79">
        <f>VLOOKUP(4,'Gruppen'!$A$30:$L$33,3,FALSE)</f>
        <v>3</v>
      </c>
      <c r="F44" s="79">
        <f>VLOOKUP(4,'Gruppen'!$A$30:$L$33,4,FALSE)</f>
        <v>0</v>
      </c>
      <c r="G44" s="79">
        <f t="shared" si="202" ref="G44:G61">VLOOKUP(4,'Gruppen'!$A$30:$L$33,5,FALSE)</f>
        <v>0</v>
      </c>
      <c r="H44" t="s" s="77">
        <f>VLOOKUP(4,'Gruppen'!$A$30:$L$33,6,FALSE)</f>
        <v>11</v>
      </c>
      <c r="I44" s="80"/>
      <c r="J44" s="76">
        <f>VLOOKUP(4,'Gruppen'!$A$30:$L$33,7,FALSE)</f>
        <v>0</v>
      </c>
      <c r="K44" t="s" s="77">
        <v>12</v>
      </c>
      <c r="L44" s="78">
        <f>VLOOKUP(4,'Gruppen'!$A$30:$L$33,9,FALSE)</f>
        <v>5</v>
      </c>
      <c r="M44" s="79">
        <f>VLOOKUP(4,'Gruppen'!$A$30:$L$33,10,FALSE)</f>
        <v>-5</v>
      </c>
      <c r="N44" s="79">
        <f>VLOOKUP(4,'Gruppen'!$A$30:$L$33,11,FALSE)</f>
        <v>0</v>
      </c>
      <c r="O44" s="80"/>
      <c r="P44" s="137"/>
      <c r="Q44" s="23"/>
      <c r="R44" s="24"/>
      <c r="S44" t="s" s="70">
        <v>20</v>
      </c>
      <c r="T44" t="s" s="71">
        <f>VLOOKUP(4,'Gruppen'!$A$36:$L$39,2,FALSE)</f>
        <v>64</v>
      </c>
      <c r="U44" s="72"/>
      <c r="V44" s="79">
        <f>VLOOKUP(4,'Gruppen'!$A$36:$L$39,3,FALSE)</f>
        <v>3</v>
      </c>
      <c r="W44" s="79">
        <f>VLOOKUP(4,'Gruppen'!$A$36:$L$39,4,FALSE)</f>
        <v>0</v>
      </c>
      <c r="X44" s="79">
        <f>VLOOKUP(4,'Gruppen'!$A$36:$L$39,5,FALSE)</f>
        <v>1</v>
      </c>
      <c r="Y44" t="s" s="77">
        <f>VLOOKUP(4,'Gruppen'!$A$36:$L$39,6,FALSE)</f>
        <v>11</v>
      </c>
      <c r="Z44" s="75"/>
      <c r="AA44" s="76">
        <f>VLOOKUP(4,'Gruppen'!$A$36:$L$39,7,FALSE)</f>
        <v>3</v>
      </c>
      <c r="AB44" t="s" s="77">
        <v>12</v>
      </c>
      <c r="AC44" s="78">
        <f>VLOOKUP(4,'Gruppen'!$A$36:$L$39,9,FALSE)</f>
        <v>7</v>
      </c>
      <c r="AD44" s="79">
        <f>VLOOKUP(4,'Gruppen'!$A$36:$L$39,10,FALSE)</f>
        <v>-4</v>
      </c>
      <c r="AE44" s="79">
        <f>VLOOKUP(4,'Gruppen'!$A$36:$L$39,11,FALSE)</f>
        <v>1</v>
      </c>
      <c r="AF44" s="80"/>
      <c r="AG44" s="137"/>
      <c r="AH44" s="27"/>
    </row>
    <row r="45" ht="15.75" customHeight="1">
      <c r="A45" s="1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7"/>
      <c r="R45" s="87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8"/>
    </row>
    <row r="46" ht="30" customHeight="1">
      <c r="A46" s="20"/>
      <c r="B46" t="s" s="25">
        <v>65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3"/>
      <c r="R46" s="24"/>
      <c r="S46" t="s" s="25">
        <v>66</v>
      </c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7"/>
    </row>
    <row r="47" ht="15" customHeight="1">
      <c r="A47" s="156"/>
      <c r="B47" t="s" s="89">
        <v>25</v>
      </c>
      <c r="C47" t="s" s="90">
        <v>26</v>
      </c>
      <c r="D47" t="s" s="91">
        <v>27</v>
      </c>
      <c r="E47" s="92"/>
      <c r="F47" t="s" s="91">
        <v>28</v>
      </c>
      <c r="G47" s="92"/>
      <c r="H47" s="92"/>
      <c r="I47" s="92"/>
      <c r="J47" s="92"/>
      <c r="K47" s="92"/>
      <c r="L47" s="92"/>
      <c r="M47" s="93"/>
      <c r="N47" t="s" s="91">
        <v>6</v>
      </c>
      <c r="O47" s="93"/>
      <c r="P47" s="94"/>
      <c r="Q47" s="23"/>
      <c r="R47" s="24"/>
      <c r="S47" t="s" s="89">
        <v>25</v>
      </c>
      <c r="T47" t="s" s="90">
        <v>26</v>
      </c>
      <c r="U47" t="s" s="91">
        <v>27</v>
      </c>
      <c r="V47" s="144"/>
      <c r="W47" t="s" s="91">
        <v>28</v>
      </c>
      <c r="X47" s="92"/>
      <c r="Y47" s="92"/>
      <c r="Z47" s="92"/>
      <c r="AA47" s="92"/>
      <c r="AB47" s="92"/>
      <c r="AC47" s="92"/>
      <c r="AD47" s="93"/>
      <c r="AE47" t="s" s="91">
        <v>6</v>
      </c>
      <c r="AF47" s="93"/>
      <c r="AG47" s="146"/>
      <c r="AH47" s="27"/>
    </row>
    <row r="48" ht="15" customHeight="1">
      <c r="A48" s="20"/>
      <c r="B48" s="150">
        <v>9</v>
      </c>
      <c r="C48" t="s" s="102">
        <v>67</v>
      </c>
      <c r="D48" s="103">
        <v>0.5833333333333333</v>
      </c>
      <c r="E48" s="112"/>
      <c r="F48" t="s" s="102">
        <v>63</v>
      </c>
      <c r="G48" s="105"/>
      <c r="H48" s="105"/>
      <c r="I48" t="s" s="106">
        <v>12</v>
      </c>
      <c r="J48" t="s" s="113">
        <v>59</v>
      </c>
      <c r="K48" s="114"/>
      <c r="L48" s="114"/>
      <c r="M48" s="109">
        <v>0</v>
      </c>
      <c r="N48" t="s" s="115">
        <v>12</v>
      </c>
      <c r="O48" s="109">
        <v>1</v>
      </c>
      <c r="P48" s="116"/>
      <c r="Q48" s="23"/>
      <c r="R48" s="24"/>
      <c r="S48" s="150">
        <v>11</v>
      </c>
      <c r="T48" t="s" s="102">
        <v>67</v>
      </c>
      <c r="U48" s="103">
        <v>0.7083333333333333</v>
      </c>
      <c r="V48" s="112"/>
      <c r="W48" t="s" s="102">
        <v>58</v>
      </c>
      <c r="X48" s="105"/>
      <c r="Y48" s="105"/>
      <c r="Z48" t="s" s="106">
        <v>12</v>
      </c>
      <c r="AA48" t="s" s="113">
        <v>64</v>
      </c>
      <c r="AB48" s="114"/>
      <c r="AC48" s="114"/>
      <c r="AD48" s="109">
        <v>2</v>
      </c>
      <c r="AE48" t="s" s="115">
        <v>12</v>
      </c>
      <c r="AF48" s="109">
        <v>0</v>
      </c>
      <c r="AG48" s="116"/>
      <c r="AH48" s="27"/>
    </row>
    <row r="49" ht="15" customHeight="1">
      <c r="A49" s="20"/>
      <c r="B49" s="150">
        <v>10</v>
      </c>
      <c r="C49" t="s" s="102">
        <v>67</v>
      </c>
      <c r="D49" s="103">
        <v>0.8333333333333334</v>
      </c>
      <c r="E49" s="112"/>
      <c r="F49" t="s" s="102">
        <v>57</v>
      </c>
      <c r="G49" s="105"/>
      <c r="H49" s="105"/>
      <c r="I49" t="s" s="106">
        <v>12</v>
      </c>
      <c r="J49" t="s" s="113">
        <v>61</v>
      </c>
      <c r="K49" s="114"/>
      <c r="L49" s="114"/>
      <c r="M49" s="109">
        <v>2</v>
      </c>
      <c r="N49" t="s" s="115">
        <v>12</v>
      </c>
      <c r="O49" s="109">
        <v>0</v>
      </c>
      <c r="P49" s="116"/>
      <c r="Q49" s="23"/>
      <c r="R49" s="24"/>
      <c r="S49" s="150">
        <v>12</v>
      </c>
      <c r="T49" t="s" s="102">
        <v>68</v>
      </c>
      <c r="U49" s="103">
        <v>0.5833333333333333</v>
      </c>
      <c r="V49" s="112"/>
      <c r="W49" t="s" s="102">
        <v>60</v>
      </c>
      <c r="X49" s="105"/>
      <c r="Y49" s="105"/>
      <c r="Z49" t="s" s="106">
        <v>12</v>
      </c>
      <c r="AA49" t="s" s="113">
        <v>62</v>
      </c>
      <c r="AB49" s="114"/>
      <c r="AC49" s="114"/>
      <c r="AD49" s="109">
        <v>2</v>
      </c>
      <c r="AE49" t="s" s="115">
        <v>12</v>
      </c>
      <c r="AF49" s="109">
        <v>1</v>
      </c>
      <c r="AG49" s="116"/>
      <c r="AH49" s="27"/>
    </row>
    <row r="50" ht="15" customHeight="1">
      <c r="A50" s="20"/>
      <c r="B50" s="150">
        <v>25</v>
      </c>
      <c r="C50" t="s" s="102">
        <v>53</v>
      </c>
      <c r="D50" s="103">
        <v>0.5833333333333333</v>
      </c>
      <c r="E50" s="112"/>
      <c r="F50" t="s" s="102">
        <v>57</v>
      </c>
      <c r="G50" s="105"/>
      <c r="H50" s="105"/>
      <c r="I50" t="s" s="106">
        <v>12</v>
      </c>
      <c r="J50" t="s" s="113">
        <v>63</v>
      </c>
      <c r="K50" s="114"/>
      <c r="L50" s="114"/>
      <c r="M50" s="109">
        <v>2</v>
      </c>
      <c r="N50" t="s" s="115">
        <v>12</v>
      </c>
      <c r="O50" s="109">
        <v>0</v>
      </c>
      <c r="P50" s="116"/>
      <c r="Q50" s="23"/>
      <c r="R50" s="24"/>
      <c r="S50" s="150">
        <v>27</v>
      </c>
      <c r="T50" t="s" s="102">
        <v>69</v>
      </c>
      <c r="U50" s="103">
        <v>0.7083333333333333</v>
      </c>
      <c r="V50" s="112"/>
      <c r="W50" t="s" s="102">
        <v>62</v>
      </c>
      <c r="X50" s="105"/>
      <c r="Y50" s="105"/>
      <c r="Z50" t="s" s="106">
        <v>12</v>
      </c>
      <c r="AA50" t="s" s="113">
        <v>64</v>
      </c>
      <c r="AB50" s="114"/>
      <c r="AC50" s="114"/>
      <c r="AD50" s="109">
        <v>2</v>
      </c>
      <c r="AE50" t="s" s="115">
        <v>12</v>
      </c>
      <c r="AF50" s="109">
        <v>2</v>
      </c>
      <c r="AG50" s="116"/>
      <c r="AH50" s="27"/>
    </row>
    <row r="51" ht="15" customHeight="1">
      <c r="A51" s="20"/>
      <c r="B51" s="150">
        <v>26</v>
      </c>
      <c r="C51" t="s" s="102">
        <v>53</v>
      </c>
      <c r="D51" s="103">
        <v>0.8333333333333334</v>
      </c>
      <c r="E51" s="112"/>
      <c r="F51" t="s" s="102">
        <v>59</v>
      </c>
      <c r="G51" s="105"/>
      <c r="H51" s="105"/>
      <c r="I51" t="s" s="106">
        <v>12</v>
      </c>
      <c r="J51" t="s" s="113">
        <v>61</v>
      </c>
      <c r="K51" s="114"/>
      <c r="L51" s="114"/>
      <c r="M51" s="109">
        <v>2</v>
      </c>
      <c r="N51" t="s" s="115">
        <v>12</v>
      </c>
      <c r="O51" s="109">
        <v>1</v>
      </c>
      <c r="P51" s="116"/>
      <c r="Q51" s="23"/>
      <c r="R51" s="24"/>
      <c r="S51" s="150">
        <v>28</v>
      </c>
      <c r="T51" t="s" s="102">
        <v>69</v>
      </c>
      <c r="U51" s="103">
        <v>0.8333333333333334</v>
      </c>
      <c r="V51" s="112"/>
      <c r="W51" t="s" s="102">
        <v>58</v>
      </c>
      <c r="X51" s="105"/>
      <c r="Y51" s="105"/>
      <c r="Z51" t="s" s="106">
        <v>12</v>
      </c>
      <c r="AA51" t="s" s="113">
        <v>60</v>
      </c>
      <c r="AB51" s="114"/>
      <c r="AC51" s="114"/>
      <c r="AD51" s="109">
        <v>3</v>
      </c>
      <c r="AE51" t="s" s="115">
        <v>12</v>
      </c>
      <c r="AF51" s="109">
        <v>1</v>
      </c>
      <c r="AG51" s="116"/>
      <c r="AH51" s="27"/>
    </row>
    <row r="52" ht="15" customHeight="1">
      <c r="A52" s="20"/>
      <c r="B52" s="150">
        <v>41</v>
      </c>
      <c r="C52" t="s" s="102">
        <v>70</v>
      </c>
      <c r="D52" s="103">
        <v>0.8333333333333334</v>
      </c>
      <c r="E52" s="112"/>
      <c r="F52" t="s" s="102">
        <v>59</v>
      </c>
      <c r="G52" s="105"/>
      <c r="H52" s="105"/>
      <c r="I52" t="s" s="106">
        <v>12</v>
      </c>
      <c r="J52" t="s" s="113">
        <v>57</v>
      </c>
      <c r="K52" s="114"/>
      <c r="L52" s="114"/>
      <c r="M52" s="109">
        <v>1</v>
      </c>
      <c r="N52" t="s" s="115">
        <v>12</v>
      </c>
      <c r="O52" s="109">
        <v>3</v>
      </c>
      <c r="P52" s="116"/>
      <c r="Q52" s="23"/>
      <c r="R52" s="24"/>
      <c r="S52" s="150">
        <v>43</v>
      </c>
      <c r="T52" t="s" s="102">
        <v>70</v>
      </c>
      <c r="U52" s="103">
        <v>0.6666666666666667</v>
      </c>
      <c r="V52" s="112"/>
      <c r="W52" t="s" s="102">
        <v>62</v>
      </c>
      <c r="X52" s="105"/>
      <c r="Y52" s="105"/>
      <c r="Z52" t="s" s="106">
        <v>12</v>
      </c>
      <c r="AA52" t="s" s="113">
        <v>58</v>
      </c>
      <c r="AB52" s="114"/>
      <c r="AC52" s="114"/>
      <c r="AD52" s="109">
        <v>1</v>
      </c>
      <c r="AE52" t="s" s="115">
        <v>12</v>
      </c>
      <c r="AF52" s="109">
        <v>3</v>
      </c>
      <c r="AG52" s="116"/>
      <c r="AH52" s="27"/>
    </row>
    <row r="53" ht="15" customHeight="1">
      <c r="A53" s="20"/>
      <c r="B53" s="150">
        <v>42</v>
      </c>
      <c r="C53" t="s" s="102">
        <v>70</v>
      </c>
      <c r="D53" s="103">
        <v>0.8333333333333334</v>
      </c>
      <c r="E53" s="112"/>
      <c r="F53" t="s" s="102">
        <v>61</v>
      </c>
      <c r="G53" s="105"/>
      <c r="H53" s="105"/>
      <c r="I53" t="s" s="106">
        <v>12</v>
      </c>
      <c r="J53" t="s" s="113">
        <v>63</v>
      </c>
      <c r="K53" s="114"/>
      <c r="L53" s="114"/>
      <c r="M53" s="109">
        <v>2</v>
      </c>
      <c r="N53" t="s" s="115">
        <v>12</v>
      </c>
      <c r="O53" s="109">
        <v>0</v>
      </c>
      <c r="P53" s="116"/>
      <c r="Q53" s="23"/>
      <c r="R53" s="24"/>
      <c r="S53" s="150">
        <v>44</v>
      </c>
      <c r="T53" t="s" s="102">
        <v>70</v>
      </c>
      <c r="U53" s="103">
        <v>0.6666666666666667</v>
      </c>
      <c r="V53" s="112"/>
      <c r="W53" t="s" s="102">
        <v>64</v>
      </c>
      <c r="X53" s="105"/>
      <c r="Y53" s="105"/>
      <c r="Z53" t="s" s="106">
        <v>12</v>
      </c>
      <c r="AA53" t="s" s="113">
        <v>60</v>
      </c>
      <c r="AB53" s="114"/>
      <c r="AC53" s="114"/>
      <c r="AD53" s="109">
        <v>1</v>
      </c>
      <c r="AE53" t="s" s="115">
        <v>12</v>
      </c>
      <c r="AF53" s="109">
        <v>3</v>
      </c>
      <c r="AG53" s="116"/>
      <c r="AH53" s="27"/>
    </row>
    <row r="54" ht="15.75" customHeight="1">
      <c r="A54" s="20"/>
      <c r="B54" s="126"/>
      <c r="C54" s="128"/>
      <c r="D54" s="128"/>
      <c r="E54" s="127"/>
      <c r="F54" s="127"/>
      <c r="G54" s="127"/>
      <c r="H54" s="127"/>
      <c r="I54" s="127"/>
      <c r="J54" s="127"/>
      <c r="K54" s="127"/>
      <c r="L54" s="127"/>
      <c r="M54" s="129"/>
      <c r="N54" s="127"/>
      <c r="O54" s="129"/>
      <c r="P54" s="130"/>
      <c r="Q54" s="23"/>
      <c r="R54" s="24"/>
      <c r="S54" s="126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9"/>
      <c r="AE54" s="127"/>
      <c r="AF54" s="129"/>
      <c r="AG54" s="130"/>
      <c r="AH54" s="27"/>
    </row>
    <row r="55" ht="15.75" customHeight="1">
      <c r="A55" s="1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7"/>
      <c r="R55" s="87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8"/>
    </row>
    <row r="56" ht="21" customHeight="1">
      <c r="A56" s="20"/>
      <c r="B56" t="s" s="25">
        <v>71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3"/>
      <c r="R56" s="24"/>
      <c r="S56" t="s" s="25">
        <v>72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7"/>
    </row>
    <row r="57" ht="15" customHeight="1">
      <c r="A57" s="20"/>
      <c r="B57" s="38"/>
      <c r="C57" s="44"/>
      <c r="D57" s="44"/>
      <c r="E57" t="s" s="41">
        <v>2</v>
      </c>
      <c r="F57" t="s" s="41">
        <v>3</v>
      </c>
      <c r="G57" t="s" s="41">
        <v>4</v>
      </c>
      <c r="H57" t="s" s="42">
        <v>5</v>
      </c>
      <c r="I57" s="44"/>
      <c r="J57" s="44"/>
      <c r="K57" t="s" s="41">
        <v>6</v>
      </c>
      <c r="L57" s="44"/>
      <c r="M57" t="s" s="41">
        <v>7</v>
      </c>
      <c r="N57" t="s" s="41">
        <v>8</v>
      </c>
      <c r="O57" s="44"/>
      <c r="P57" s="155"/>
      <c r="Q57" s="23"/>
      <c r="R57" s="24"/>
      <c r="S57" s="38"/>
      <c r="T57" s="39"/>
      <c r="U57" s="39"/>
      <c r="V57" t="s" s="41">
        <v>2</v>
      </c>
      <c r="W57" t="s" s="41">
        <v>3</v>
      </c>
      <c r="X57" t="s" s="41">
        <v>4</v>
      </c>
      <c r="Y57" t="s" s="42">
        <v>5</v>
      </c>
      <c r="Z57" s="44"/>
      <c r="AA57" s="44"/>
      <c r="AB57" t="s" s="41">
        <v>6</v>
      </c>
      <c r="AC57" s="44"/>
      <c r="AD57" t="s" s="41">
        <v>7</v>
      </c>
      <c r="AE57" t="s" s="41">
        <v>8</v>
      </c>
      <c r="AF57" s="44"/>
      <c r="AG57" s="155"/>
      <c r="AH57" s="27"/>
    </row>
    <row r="58" ht="15" customHeight="1">
      <c r="A58" s="20"/>
      <c r="B58" t="s" s="46">
        <v>9</v>
      </c>
      <c r="C58" t="s" s="47">
        <f>VLOOKUP(1,'Gruppen'!$A$42:$L$45,2,FALSE)</f>
        <v>73</v>
      </c>
      <c r="D58" s="48"/>
      <c r="E58" s="55">
        <f>VLOOKUP(1,'Gruppen'!$A$42:$L$45,3,FALSE)</f>
        <v>3</v>
      </c>
      <c r="F58" s="55">
        <f>VLOOKUP(1,'Gruppen'!$A$42:$L$45,4,FALSE)</f>
        <v>3</v>
      </c>
      <c r="G58" s="55">
        <f>VLOOKUP(1,'Gruppen'!$A$42:$L$45,5,FALSE)</f>
        <v>0</v>
      </c>
      <c r="H58" t="s" s="53">
        <f>VLOOKUP(1,'Gruppen'!$A$42:$L$45,6,FALSE)</f>
        <v>11</v>
      </c>
      <c r="I58" s="56"/>
      <c r="J58" s="52">
        <f>VLOOKUP(1,'Gruppen'!$A$42:$L$45,7,FALSE)</f>
        <v>7</v>
      </c>
      <c r="K58" t="s" s="53">
        <v>12</v>
      </c>
      <c r="L58" s="54">
        <f>VLOOKUP(1,'Gruppen'!$A$42:$L$45,9,FALSE)</f>
        <v>1</v>
      </c>
      <c r="M58" s="55">
        <f>VLOOKUP(1,'Gruppen'!$A$42:$L$45,10,FALSE)</f>
        <v>6</v>
      </c>
      <c r="N58" s="55">
        <f>VLOOKUP(1,'Gruppen'!$A$42:$L$45,11,FALSE)</f>
        <v>9</v>
      </c>
      <c r="O58" s="56"/>
      <c r="P58" s="135"/>
      <c r="Q58" s="23"/>
      <c r="R58" s="24"/>
      <c r="S58" t="s" s="46">
        <v>9</v>
      </c>
      <c r="T58" t="s" s="47">
        <f>VLOOKUP(1,'Gruppen'!$A$48:$L$51,2,FALSE)</f>
        <v>74</v>
      </c>
      <c r="U58" s="48"/>
      <c r="V58" s="55">
        <f>VLOOKUP(1,'Gruppen'!$A$48:$L$51,3,FALSE)</f>
        <v>3</v>
      </c>
      <c r="W58" s="55">
        <f>VLOOKUP(1,'Gruppen'!$A$48:$L$51,4,FALSE)</f>
        <v>2</v>
      </c>
      <c r="X58" s="55">
        <f>VLOOKUP(1,'Gruppen'!$A$48:$L$51,5,FALSE)</f>
        <v>1</v>
      </c>
      <c r="Y58" t="s" s="53">
        <f>VLOOKUP(1,'Gruppen'!$A$48:$L$51,6,FALSE)</f>
        <v>11</v>
      </c>
      <c r="Z58" s="51"/>
      <c r="AA58" s="52">
        <f>VLOOKUP(1,'Gruppen'!$A$48:$L$51,7,FALSE)</f>
        <v>6</v>
      </c>
      <c r="AB58" t="s" s="53">
        <v>12</v>
      </c>
      <c r="AC58" s="54">
        <f>VLOOKUP(1,'Gruppen'!$A$48:$L$51,9,FALSE)</f>
        <v>3</v>
      </c>
      <c r="AD58" s="55">
        <f>VLOOKUP(1,'Gruppen'!$A$48:$L$51,10,FALSE)</f>
        <v>3</v>
      </c>
      <c r="AE58" s="55">
        <f>VLOOKUP(1,'Gruppen'!$A$48:$L$51,11,FALSE)</f>
        <v>7</v>
      </c>
      <c r="AF58" s="56"/>
      <c r="AG58" s="135"/>
      <c r="AH58" s="27"/>
    </row>
    <row r="59" ht="15" customHeight="1">
      <c r="A59" s="20"/>
      <c r="B59" t="s" s="58">
        <v>14</v>
      </c>
      <c r="C59" t="s" s="59">
        <f>VLOOKUP(2,'Gruppen'!$A$42:$L$45,2,FALSE)</f>
        <v>75</v>
      </c>
      <c r="D59" s="60"/>
      <c r="E59" s="67">
        <f>VLOOKUP(2,'Gruppen'!$A$42:$L$45,3,FALSE)</f>
        <v>3</v>
      </c>
      <c r="F59" s="67">
        <f>VLOOKUP(2,'Gruppen'!$A$42:$L$45,4,FALSE)</f>
        <v>2</v>
      </c>
      <c r="G59" s="67">
        <f>VLOOKUP(2,'Gruppen'!$A$42:$L$45,5,FALSE)</f>
        <v>0</v>
      </c>
      <c r="H59" t="s" s="65">
        <f>VLOOKUP(2,'Gruppen'!$A$42:$L$45,6,FALSE)</f>
        <v>11</v>
      </c>
      <c r="I59" s="68"/>
      <c r="J59" s="64">
        <f>VLOOKUP(2,'Gruppen'!$A$42:$L$45,7,FALSE)</f>
        <v>6</v>
      </c>
      <c r="K59" t="s" s="65">
        <v>12</v>
      </c>
      <c r="L59" s="66">
        <f>VLOOKUP(2,'Gruppen'!$A$42:$L$45,9,FALSE)</f>
        <v>2</v>
      </c>
      <c r="M59" s="67">
        <f>VLOOKUP(2,'Gruppen'!$A$42:$L$45,10,FALSE)</f>
        <v>4</v>
      </c>
      <c r="N59" s="67">
        <f>VLOOKUP(2,'Gruppen'!$A$42:$L$45,11,FALSE)</f>
        <v>6</v>
      </c>
      <c r="O59" s="68"/>
      <c r="P59" s="136"/>
      <c r="Q59" s="23"/>
      <c r="R59" s="24"/>
      <c r="S59" t="s" s="58">
        <v>14</v>
      </c>
      <c r="T59" t="s" s="59">
        <f>VLOOKUP(2,'Gruppen'!$A$48:$L$51,2,FALSE)</f>
        <v>76</v>
      </c>
      <c r="U59" s="60"/>
      <c r="V59" s="67">
        <f>VLOOKUP(2,'Gruppen'!$A$48:$L$51,3,FALSE)</f>
        <v>3</v>
      </c>
      <c r="W59" s="67">
        <f>VLOOKUP(2,'Gruppen'!$A$48:$L$51,4,FALSE)</f>
        <v>1</v>
      </c>
      <c r="X59" s="67">
        <f>VLOOKUP(2,'Gruppen'!$A$48:$L$51,5,FALSE)</f>
        <v>2</v>
      </c>
      <c r="Y59" t="s" s="65">
        <f>VLOOKUP(2,'Gruppen'!$A$48:$L$51,6,FALSE)</f>
        <v>11</v>
      </c>
      <c r="Z59" s="63"/>
      <c r="AA59" s="64">
        <f>VLOOKUP(2,'Gruppen'!$A$48:$L$51,7,FALSE)</f>
        <v>5</v>
      </c>
      <c r="AB59" t="s" s="65">
        <v>12</v>
      </c>
      <c r="AC59" s="66">
        <f>VLOOKUP(2,'Gruppen'!$A$48:$L$51,9,FALSE)</f>
        <v>3</v>
      </c>
      <c r="AD59" s="67">
        <f>VLOOKUP(2,'Gruppen'!$A$48:$L$51,10,FALSE)</f>
        <v>2</v>
      </c>
      <c r="AE59" s="67">
        <f>VLOOKUP(2,'Gruppen'!$A$48:$L$51,11,FALSE)</f>
        <v>5</v>
      </c>
      <c r="AF59" s="68"/>
      <c r="AG59" s="136"/>
      <c r="AH59" s="27"/>
    </row>
    <row r="60" ht="15" customHeight="1">
      <c r="A60" s="20"/>
      <c r="B60" t="s" s="58">
        <v>17</v>
      </c>
      <c r="C60" t="s" s="59">
        <f>VLOOKUP(3,'Gruppen'!$A$42:$L$45,2,FALSE)</f>
        <v>77</v>
      </c>
      <c r="D60" s="60"/>
      <c r="E60" s="67">
        <f>VLOOKUP(3,'Gruppen'!$A$42:$L$45,3,FALSE)</f>
        <v>3</v>
      </c>
      <c r="F60" s="67">
        <f>VLOOKUP(3,'Gruppen'!$A$42:$L$45,4,FALSE)</f>
        <v>0</v>
      </c>
      <c r="G60" s="67">
        <f>VLOOKUP(3,'Gruppen'!$A$42:$L$45,5,FALSE)</f>
        <v>1</v>
      </c>
      <c r="H60" t="s" s="65">
        <f>VLOOKUP(3,'Gruppen'!$A$42:$L$45,6,FALSE)</f>
        <v>11</v>
      </c>
      <c r="I60" s="68"/>
      <c r="J60" s="64">
        <f>VLOOKUP(3,'Gruppen'!$A$42:$L$45,7,FALSE)</f>
        <v>1</v>
      </c>
      <c r="K60" t="s" s="65">
        <v>12</v>
      </c>
      <c r="L60" s="66">
        <f>VLOOKUP(3,'Gruppen'!$A$42:$L$45,9,FALSE)</f>
        <v>5</v>
      </c>
      <c r="M60" s="67">
        <f>VLOOKUP(3,'Gruppen'!$A$42:$L$45,10,FALSE)</f>
        <v>-4</v>
      </c>
      <c r="N60" s="67">
        <f>VLOOKUP(3,'Gruppen'!$A$42:$L$45,11,FALSE)</f>
        <v>1</v>
      </c>
      <c r="O60" s="68"/>
      <c r="P60" s="136"/>
      <c r="Q60" s="23"/>
      <c r="R60" s="24"/>
      <c r="S60" t="s" s="58">
        <v>17</v>
      </c>
      <c r="T60" t="s" s="59">
        <f>VLOOKUP(3,'Gruppen'!$A$48:$L$51,2,FALSE)</f>
        <v>78</v>
      </c>
      <c r="U60" s="60"/>
      <c r="V60" s="67">
        <f>VLOOKUP(3,'Gruppen'!$A$48:$L$51,3,FALSE)</f>
        <v>3</v>
      </c>
      <c r="W60" s="67">
        <f>VLOOKUP(3,'Gruppen'!$A$48:$L$51,4,FALSE)</f>
        <v>1</v>
      </c>
      <c r="X60" s="67">
        <f>VLOOKUP(3,'Gruppen'!$A$48:$L$51,5,FALSE)</f>
        <v>1</v>
      </c>
      <c r="Y60" t="s" s="65">
        <f>VLOOKUP(3,'Gruppen'!$A$48:$L$51,6,FALSE)</f>
        <v>11</v>
      </c>
      <c r="Z60" s="63"/>
      <c r="AA60" s="64">
        <f>VLOOKUP(3,'Gruppen'!$A$48:$L$51,7,FALSE)</f>
        <v>5</v>
      </c>
      <c r="AB60" t="s" s="65">
        <v>12</v>
      </c>
      <c r="AC60" s="66">
        <f>VLOOKUP(3,'Gruppen'!$A$48:$L$51,9,FALSE)</f>
        <v>5</v>
      </c>
      <c r="AD60" s="67">
        <f>VLOOKUP(3,'Gruppen'!$A$48:$L$51,10,FALSE)</f>
        <v>0</v>
      </c>
      <c r="AE60" s="67">
        <f>VLOOKUP(3,'Gruppen'!$A$48:$L$51,11,FALSE)</f>
        <v>4</v>
      </c>
      <c r="AF60" s="68"/>
      <c r="AG60" s="136"/>
      <c r="AH60" s="27"/>
    </row>
    <row r="61" ht="15.75" customHeight="1">
      <c r="A61" s="20"/>
      <c r="B61" t="s" s="70">
        <v>20</v>
      </c>
      <c r="C61" t="s" s="71">
        <f>VLOOKUP(4,'Gruppen'!$A$42:$L$45,2,FALSE)</f>
        <v>79</v>
      </c>
      <c r="D61" s="72"/>
      <c r="E61" s="79">
        <f>VLOOKUP(4,'Gruppen'!$A$42:$L$45,3,FALSE)</f>
        <v>3</v>
      </c>
      <c r="F61" s="79">
        <f>VLOOKUP(4,'Gruppen'!$A$42:$L$45,4,FALSE)</f>
        <v>0</v>
      </c>
      <c r="G61" s="79">
        <f t="shared" si="202"/>
        <v>0</v>
      </c>
      <c r="H61" t="s" s="77">
        <f>VLOOKUP(4,'Gruppen'!$A$42:$L$45,6,FALSE)</f>
        <v>11</v>
      </c>
      <c r="I61" s="80"/>
      <c r="J61" s="76">
        <f>VLOOKUP(4,'Gruppen'!$A$42:$L$45,7,FALSE)</f>
        <v>1</v>
      </c>
      <c r="K61" t="s" s="77">
        <v>12</v>
      </c>
      <c r="L61" s="78">
        <f>VLOOKUP(4,'Gruppen'!$A$42:$L$45,9,FALSE)</f>
        <v>7</v>
      </c>
      <c r="M61" s="79">
        <f>VLOOKUP(4,'Gruppen'!$A$42:$L$45,10,FALSE)</f>
        <v>-6</v>
      </c>
      <c r="N61" s="79">
        <f>VLOOKUP(4,'Gruppen'!$A$42:$L$45,11,FALSE)</f>
        <v>1</v>
      </c>
      <c r="O61" s="80"/>
      <c r="P61" s="137"/>
      <c r="Q61" s="23"/>
      <c r="R61" s="24"/>
      <c r="S61" t="s" s="70">
        <v>20</v>
      </c>
      <c r="T61" t="s" s="71">
        <f>VLOOKUP(4,'Gruppen'!$A$48:$L$51,2,FALSE)</f>
        <v>80</v>
      </c>
      <c r="U61" s="72"/>
      <c r="V61" s="79">
        <f>VLOOKUP(4,'Gruppen'!$A$48:$L$51,3,FALSE)</f>
        <v>3</v>
      </c>
      <c r="W61" s="79">
        <f>VLOOKUP(4,'Gruppen'!$A$48:$L$51,4,FALSE)</f>
        <v>0</v>
      </c>
      <c r="X61" s="79">
        <f>VLOOKUP(4,'Gruppen'!$A$48:$L$51,5,FALSE)</f>
        <v>0</v>
      </c>
      <c r="Y61" t="s" s="77">
        <f>VLOOKUP(4,'Gruppen'!$A$48:$L$51,6,FALSE)</f>
        <v>11</v>
      </c>
      <c r="Z61" s="75"/>
      <c r="AA61" s="76">
        <f>VLOOKUP(4,'Gruppen'!$A$48:$L$51,7,FALSE)</f>
        <v>2</v>
      </c>
      <c r="AB61" t="s" s="77">
        <v>12</v>
      </c>
      <c r="AC61" s="78">
        <f>VLOOKUP(4,'Gruppen'!$A$48:$L$51,9,FALSE)</f>
        <v>7</v>
      </c>
      <c r="AD61" s="79">
        <f>VLOOKUP(4,'Gruppen'!$A$48:$L$51,10,FALSE)</f>
        <v>-5</v>
      </c>
      <c r="AE61" s="79">
        <f>VLOOKUP(4,'Gruppen'!$A$48:$L$51,11,FALSE)</f>
        <v>0</v>
      </c>
      <c r="AF61" s="80"/>
      <c r="AG61" s="137"/>
      <c r="AH61" s="27"/>
    </row>
    <row r="62" ht="15.75" customHeight="1">
      <c r="A62" s="1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7"/>
      <c r="R62" s="87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8"/>
    </row>
    <row r="63" ht="21" customHeight="1">
      <c r="A63" s="20"/>
      <c r="B63" t="s" s="25">
        <v>81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3"/>
      <c r="R63" s="24"/>
      <c r="S63" t="s" s="25">
        <v>82</v>
      </c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7"/>
    </row>
    <row r="64" ht="15" customHeight="1">
      <c r="A64" s="156"/>
      <c r="B64" t="s" s="89">
        <v>25</v>
      </c>
      <c r="C64" t="s" s="91">
        <v>26</v>
      </c>
      <c r="D64" t="s" s="91">
        <v>27</v>
      </c>
      <c r="E64" s="92"/>
      <c r="F64" t="s" s="91">
        <v>28</v>
      </c>
      <c r="G64" s="92"/>
      <c r="H64" s="92"/>
      <c r="I64" s="92"/>
      <c r="J64" s="92"/>
      <c r="K64" s="92"/>
      <c r="L64" s="92"/>
      <c r="M64" s="93"/>
      <c r="N64" t="s" s="91">
        <v>6</v>
      </c>
      <c r="O64" s="93"/>
      <c r="P64" s="94"/>
      <c r="Q64" s="23"/>
      <c r="R64" s="24"/>
      <c r="S64" t="s" s="89">
        <v>25</v>
      </c>
      <c r="T64" t="s" s="91">
        <v>26</v>
      </c>
      <c r="U64" t="s" s="91">
        <v>27</v>
      </c>
      <c r="V64" s="144"/>
      <c r="W64" t="s" s="91">
        <v>28</v>
      </c>
      <c r="X64" s="92"/>
      <c r="Y64" s="92"/>
      <c r="Z64" s="92"/>
      <c r="AA64" s="92"/>
      <c r="AB64" s="92"/>
      <c r="AC64" s="92"/>
      <c r="AD64" s="93"/>
      <c r="AE64" t="s" s="91">
        <v>6</v>
      </c>
      <c r="AF64" s="93"/>
      <c r="AG64" s="146"/>
      <c r="AH64" s="27"/>
    </row>
    <row r="65" ht="15" customHeight="1">
      <c r="A65" s="20"/>
      <c r="B65" s="150">
        <v>13</v>
      </c>
      <c r="C65" t="s" s="106">
        <v>68</v>
      </c>
      <c r="D65" s="157">
        <v>0.7083333333333333</v>
      </c>
      <c r="E65" s="112"/>
      <c r="F65" t="s" s="102">
        <v>75</v>
      </c>
      <c r="G65" s="105"/>
      <c r="H65" s="105"/>
      <c r="I65" t="s" s="106">
        <v>12</v>
      </c>
      <c r="J65" t="s" s="113">
        <v>79</v>
      </c>
      <c r="K65" s="114"/>
      <c r="L65" s="114"/>
      <c r="M65" s="109">
        <v>3</v>
      </c>
      <c r="N65" t="s" s="115">
        <v>12</v>
      </c>
      <c r="O65" s="109">
        <v>0</v>
      </c>
      <c r="P65" s="116"/>
      <c r="Q65" s="23"/>
      <c r="R65" s="24"/>
      <c r="S65" s="150">
        <v>15</v>
      </c>
      <c r="T65" t="s" s="106">
        <v>35</v>
      </c>
      <c r="U65" s="157">
        <v>0.5833333333333333</v>
      </c>
      <c r="V65" s="112"/>
      <c r="W65" t="s" s="102">
        <v>78</v>
      </c>
      <c r="X65" s="105"/>
      <c r="Y65" s="105"/>
      <c r="Z65" t="s" s="106">
        <v>12</v>
      </c>
      <c r="AA65" t="s" s="113">
        <v>76</v>
      </c>
      <c r="AB65" s="114"/>
      <c r="AC65" s="114"/>
      <c r="AD65" s="109">
        <v>2</v>
      </c>
      <c r="AE65" t="s" s="115">
        <v>12</v>
      </c>
      <c r="AF65" s="109">
        <v>2</v>
      </c>
      <c r="AG65" s="116"/>
      <c r="AH65" s="27"/>
    </row>
    <row r="66" ht="15" customHeight="1">
      <c r="A66" s="20"/>
      <c r="B66" s="150">
        <v>14</v>
      </c>
      <c r="C66" t="s" s="106">
        <v>68</v>
      </c>
      <c r="D66" s="157">
        <v>0.8333333333333334</v>
      </c>
      <c r="E66" s="112"/>
      <c r="F66" t="s" s="102">
        <v>77</v>
      </c>
      <c r="G66" s="105"/>
      <c r="H66" s="105"/>
      <c r="I66" t="s" s="106">
        <v>12</v>
      </c>
      <c r="J66" t="s" s="113">
        <v>73</v>
      </c>
      <c r="K66" s="114"/>
      <c r="L66" s="114"/>
      <c r="M66" s="109">
        <v>0</v>
      </c>
      <c r="N66" t="s" s="115">
        <v>12</v>
      </c>
      <c r="O66" s="109">
        <v>2</v>
      </c>
      <c r="P66" s="116"/>
      <c r="Q66" s="23"/>
      <c r="R66" s="24"/>
      <c r="S66" s="150">
        <v>16</v>
      </c>
      <c r="T66" t="s" s="106">
        <v>35</v>
      </c>
      <c r="U66" s="157">
        <v>0.7083333333333333</v>
      </c>
      <c r="V66" s="112"/>
      <c r="W66" t="s" s="102">
        <v>74</v>
      </c>
      <c r="X66" s="105"/>
      <c r="Y66" s="105"/>
      <c r="Z66" t="s" s="106">
        <v>12</v>
      </c>
      <c r="AA66" t="s" s="113">
        <v>80</v>
      </c>
      <c r="AB66" s="114"/>
      <c r="AC66" s="114"/>
      <c r="AD66" s="109">
        <v>3</v>
      </c>
      <c r="AE66" t="s" s="115">
        <v>12</v>
      </c>
      <c r="AF66" s="109">
        <v>1</v>
      </c>
      <c r="AG66" s="116"/>
      <c r="AH66" s="27"/>
    </row>
    <row r="67" ht="15" customHeight="1">
      <c r="A67" s="20"/>
      <c r="B67" s="150">
        <v>29</v>
      </c>
      <c r="C67" t="s" s="106">
        <v>69</v>
      </c>
      <c r="D67" s="157">
        <v>0.5833333333333333</v>
      </c>
      <c r="E67" s="112"/>
      <c r="F67" t="s" s="102">
        <v>75</v>
      </c>
      <c r="G67" s="105"/>
      <c r="H67" s="105"/>
      <c r="I67" t="s" s="106">
        <v>12</v>
      </c>
      <c r="J67" t="s" s="113">
        <v>77</v>
      </c>
      <c r="K67" s="114"/>
      <c r="L67" s="114"/>
      <c r="M67" s="109">
        <v>2</v>
      </c>
      <c r="N67" t="s" s="115">
        <v>12</v>
      </c>
      <c r="O67" s="109">
        <v>0</v>
      </c>
      <c r="P67" s="116"/>
      <c r="Q67" s="23"/>
      <c r="R67" s="24"/>
      <c r="S67" s="150">
        <v>31</v>
      </c>
      <c r="T67" t="s" s="106">
        <v>83</v>
      </c>
      <c r="U67" s="157">
        <v>0.7083333333333333</v>
      </c>
      <c r="V67" s="112"/>
      <c r="W67" t="s" s="102">
        <v>76</v>
      </c>
      <c r="X67" s="105"/>
      <c r="Y67" s="105"/>
      <c r="Z67" t="s" s="106">
        <v>12</v>
      </c>
      <c r="AA67" t="s" s="113">
        <v>80</v>
      </c>
      <c r="AB67" s="114"/>
      <c r="AC67" s="114"/>
      <c r="AD67" s="109">
        <v>2</v>
      </c>
      <c r="AE67" t="s" s="115">
        <v>12</v>
      </c>
      <c r="AF67" s="109">
        <v>0</v>
      </c>
      <c r="AG67" s="116"/>
      <c r="AH67" s="27"/>
    </row>
    <row r="68" ht="15" customHeight="1">
      <c r="A68" s="20"/>
      <c r="B68" s="150">
        <v>30</v>
      </c>
      <c r="C68" t="s" s="106">
        <v>83</v>
      </c>
      <c r="D68" s="157">
        <v>0.5833333333333333</v>
      </c>
      <c r="E68" s="112"/>
      <c r="F68" t="s" s="102">
        <v>73</v>
      </c>
      <c r="G68" s="105"/>
      <c r="H68" s="105"/>
      <c r="I68" t="s" s="106">
        <v>12</v>
      </c>
      <c r="J68" t="s" s="113">
        <v>79</v>
      </c>
      <c r="K68" s="114"/>
      <c r="L68" s="114"/>
      <c r="M68" s="109">
        <v>3</v>
      </c>
      <c r="N68" t="s" s="115">
        <v>12</v>
      </c>
      <c r="O68" s="109">
        <v>0</v>
      </c>
      <c r="P68" s="116"/>
      <c r="Q68" s="23"/>
      <c r="R68" s="24"/>
      <c r="S68" s="150">
        <v>32</v>
      </c>
      <c r="T68" t="s" s="106">
        <v>83</v>
      </c>
      <c r="U68" s="157">
        <v>0.8333333333333334</v>
      </c>
      <c r="V68" s="112"/>
      <c r="W68" t="s" s="102">
        <v>74</v>
      </c>
      <c r="X68" s="105"/>
      <c r="Y68" s="105"/>
      <c r="Z68" t="s" s="106">
        <v>12</v>
      </c>
      <c r="AA68" t="s" s="113">
        <v>78</v>
      </c>
      <c r="AB68" s="114"/>
      <c r="AC68" s="114"/>
      <c r="AD68" s="109">
        <v>2</v>
      </c>
      <c r="AE68" t="s" s="115">
        <v>12</v>
      </c>
      <c r="AF68" s="109">
        <v>1</v>
      </c>
      <c r="AG68" s="116"/>
      <c r="AH68" s="27"/>
    </row>
    <row r="69" ht="15" customHeight="1">
      <c r="A69" s="20"/>
      <c r="B69" s="150">
        <v>45</v>
      </c>
      <c r="C69" t="s" s="106">
        <v>84</v>
      </c>
      <c r="D69" s="157">
        <v>0.8333333333333334</v>
      </c>
      <c r="E69" s="112"/>
      <c r="F69" t="s" s="102">
        <v>73</v>
      </c>
      <c r="G69" s="105"/>
      <c r="H69" s="105"/>
      <c r="I69" t="s" s="106">
        <v>12</v>
      </c>
      <c r="J69" t="s" s="113">
        <v>75</v>
      </c>
      <c r="K69" s="114"/>
      <c r="L69" s="114"/>
      <c r="M69" s="109">
        <v>2</v>
      </c>
      <c r="N69" t="s" s="115">
        <v>12</v>
      </c>
      <c r="O69" s="109">
        <v>1</v>
      </c>
      <c r="P69" s="116"/>
      <c r="Q69" s="23"/>
      <c r="R69" s="24"/>
      <c r="S69" s="150">
        <v>47</v>
      </c>
      <c r="T69" t="s" s="106">
        <v>84</v>
      </c>
      <c r="U69" s="157">
        <v>0.6666666666666667</v>
      </c>
      <c r="V69" s="112"/>
      <c r="W69" t="s" s="102">
        <v>76</v>
      </c>
      <c r="X69" s="105"/>
      <c r="Y69" s="105"/>
      <c r="Z69" t="s" s="106">
        <v>12</v>
      </c>
      <c r="AA69" t="s" s="113">
        <v>74</v>
      </c>
      <c r="AB69" s="114"/>
      <c r="AC69" s="114"/>
      <c r="AD69" s="109">
        <v>1</v>
      </c>
      <c r="AE69" t="s" s="115">
        <v>12</v>
      </c>
      <c r="AF69" s="109">
        <v>1</v>
      </c>
      <c r="AG69" s="116"/>
      <c r="AH69" s="27"/>
    </row>
    <row r="70" ht="15" customHeight="1">
      <c r="A70" s="20"/>
      <c r="B70" s="150">
        <v>46</v>
      </c>
      <c r="C70" t="s" s="106">
        <v>84</v>
      </c>
      <c r="D70" s="157">
        <v>0.8333333333333334</v>
      </c>
      <c r="E70" s="112"/>
      <c r="F70" t="s" s="102">
        <v>79</v>
      </c>
      <c r="G70" s="105"/>
      <c r="H70" s="105"/>
      <c r="I70" t="s" s="106">
        <v>12</v>
      </c>
      <c r="J70" t="s" s="113">
        <v>77</v>
      </c>
      <c r="K70" s="114"/>
      <c r="L70" s="114"/>
      <c r="M70" s="109">
        <v>1</v>
      </c>
      <c r="N70" t="s" s="115">
        <v>12</v>
      </c>
      <c r="O70" s="109">
        <v>1</v>
      </c>
      <c r="P70" s="116"/>
      <c r="Q70" s="23"/>
      <c r="R70" s="24"/>
      <c r="S70" s="150">
        <v>48</v>
      </c>
      <c r="T70" t="s" s="106">
        <v>84</v>
      </c>
      <c r="U70" s="157">
        <v>0.6666666666666667</v>
      </c>
      <c r="V70" s="112"/>
      <c r="W70" t="s" s="102">
        <v>80</v>
      </c>
      <c r="X70" s="105"/>
      <c r="Y70" s="105"/>
      <c r="Z70" t="s" s="106">
        <v>12</v>
      </c>
      <c r="AA70" t="s" s="113">
        <v>78</v>
      </c>
      <c r="AB70" s="114"/>
      <c r="AC70" s="114"/>
      <c r="AD70" s="109">
        <v>1</v>
      </c>
      <c r="AE70" t="s" s="115">
        <v>12</v>
      </c>
      <c r="AF70" s="109">
        <v>2</v>
      </c>
      <c r="AG70" s="116"/>
      <c r="AH70" s="27"/>
    </row>
    <row r="71" ht="15.75" customHeight="1">
      <c r="A71" s="20"/>
      <c r="B71" s="126"/>
      <c r="C71" s="128"/>
      <c r="D71" s="128"/>
      <c r="E71" s="127"/>
      <c r="F71" s="127"/>
      <c r="G71" s="127"/>
      <c r="H71" s="127"/>
      <c r="I71" s="127"/>
      <c r="J71" s="127"/>
      <c r="K71" s="127"/>
      <c r="L71" s="127"/>
      <c r="M71" s="129"/>
      <c r="N71" s="127"/>
      <c r="O71" s="129"/>
      <c r="P71" s="130"/>
      <c r="Q71" s="23"/>
      <c r="R71" s="24"/>
      <c r="S71" s="126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9"/>
      <c r="AE71" s="127"/>
      <c r="AF71" s="129"/>
      <c r="AG71" s="130"/>
      <c r="AH71" s="27"/>
    </row>
    <row r="72" ht="15.75" customHeight="1">
      <c r="A72" s="1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7"/>
      <c r="R72" s="87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8"/>
    </row>
    <row r="73" ht="21" customHeight="1">
      <c r="A73" s="20"/>
      <c r="B73" t="s" s="158">
        <v>85</v>
      </c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60"/>
      <c r="Q73" s="23"/>
      <c r="R73" s="24"/>
      <c r="S73" t="s" s="158">
        <v>86</v>
      </c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60"/>
      <c r="AH73" s="27"/>
    </row>
    <row r="74" ht="15" customHeight="1">
      <c r="A74" s="20"/>
      <c r="B74" t="s" s="161">
        <v>25</v>
      </c>
      <c r="C74" t="s" s="162">
        <v>26</v>
      </c>
      <c r="D74" t="s" s="163">
        <v>27</v>
      </c>
      <c r="E74" s="164"/>
      <c r="F74" s="164"/>
      <c r="G74" s="164"/>
      <c r="H74" s="164"/>
      <c r="I74" t="s" s="163">
        <v>28</v>
      </c>
      <c r="J74" s="164"/>
      <c r="K74" s="164"/>
      <c r="L74" s="164"/>
      <c r="M74" s="165"/>
      <c r="N74" t="s" s="163">
        <v>6</v>
      </c>
      <c r="O74" s="166"/>
      <c r="P74" s="167"/>
      <c r="Q74" s="23"/>
      <c r="R74" s="24"/>
      <c r="S74" t="s" s="161">
        <v>25</v>
      </c>
      <c r="T74" t="s" s="162">
        <v>26</v>
      </c>
      <c r="U74" t="s" s="163">
        <v>27</v>
      </c>
      <c r="V74" s="168"/>
      <c r="W74" s="168"/>
      <c r="X74" s="168"/>
      <c r="Y74" s="164"/>
      <c r="Z74" t="s" s="163">
        <v>28</v>
      </c>
      <c r="AA74" s="164"/>
      <c r="AB74" s="164"/>
      <c r="AC74" s="164"/>
      <c r="AD74" s="169"/>
      <c r="AE74" t="s" s="163">
        <v>6</v>
      </c>
      <c r="AF74" s="170"/>
      <c r="AG74" s="171"/>
      <c r="AH74" s="27"/>
    </row>
    <row r="75" ht="15" customHeight="1">
      <c r="A75" s="20"/>
      <c r="B75" s="172">
        <v>49</v>
      </c>
      <c r="C75" t="s" s="173">
        <v>87</v>
      </c>
      <c r="D75" s="174">
        <v>0.6666666666666667</v>
      </c>
      <c r="E75" s="175"/>
      <c r="F75" t="s" s="173">
        <f>IF(SUM(E24:E27)=12,C24,"Erster Gruppe C")</f>
        <v>88</v>
      </c>
      <c r="G75" s="176"/>
      <c r="H75" s="176"/>
      <c r="I75" t="s" s="177">
        <v>12</v>
      </c>
      <c r="J75" t="s" s="178">
        <f>IF(SUM(V24:V27)=12,T25,"Zweiter Gruppe D")</f>
        <v>89</v>
      </c>
      <c r="K75" s="179"/>
      <c r="L75" s="180"/>
      <c r="M75" s="181">
        <v>1</v>
      </c>
      <c r="N75" t="s" s="182">
        <v>12</v>
      </c>
      <c r="O75" s="181">
        <v>0</v>
      </c>
      <c r="P75" s="183"/>
      <c r="Q75" s="23"/>
      <c r="R75" s="24"/>
      <c r="S75" s="172">
        <v>57</v>
      </c>
      <c r="T75" t="s" s="173">
        <v>90</v>
      </c>
      <c r="U75" s="174">
        <v>0.6666666666666667</v>
      </c>
      <c r="V75" t="s" s="173">
        <f>IF(AND(M76&lt;&gt;"",O76&lt;&gt;""),IF(M76=O76,"Fehler in Spiel 50",IF(M76&gt;O76,F76,J76)),"Sieger Spiel 50")</f>
        <v>10</v>
      </c>
      <c r="W75" s="176"/>
      <c r="X75" s="176"/>
      <c r="Y75" s="176"/>
      <c r="Z75" t="s" s="177">
        <v>12</v>
      </c>
      <c r="AA75" t="s" s="178">
        <f>IF(AND(M75&lt;&gt;"",O75&lt;&gt;""),IF(M75=O75,"Fehler in Spiel 49",IF(M75&gt;O75,F75,J75)),"Sieger Spiel 49")</f>
        <v>88</v>
      </c>
      <c r="AB75" s="179"/>
      <c r="AC75" s="180"/>
      <c r="AD75" s="181">
        <v>0</v>
      </c>
      <c r="AE75" t="s" s="182">
        <v>12</v>
      </c>
      <c r="AF75" s="181">
        <v>1</v>
      </c>
      <c r="AG75" s="183"/>
      <c r="AH75" s="27"/>
    </row>
    <row r="76" ht="15" customHeight="1">
      <c r="A76" s="20"/>
      <c r="B76" s="172">
        <v>50</v>
      </c>
      <c r="C76" t="s" s="173">
        <v>87</v>
      </c>
      <c r="D76" s="174">
        <v>0.8333333333333334</v>
      </c>
      <c r="E76" s="175"/>
      <c r="F76" t="s" s="173">
        <f>IF(SUM(E7:E10)=12,C7,"Erster Gruppe A")</f>
        <v>10</v>
      </c>
      <c r="G76" s="176"/>
      <c r="H76" s="176"/>
      <c r="I76" t="s" s="177">
        <v>12</v>
      </c>
      <c r="J76" t="s" s="184">
        <f>IF(SUM(V7:V10)=12,T8,"Zweiter Gruppe B")</f>
        <v>91</v>
      </c>
      <c r="K76" s="175"/>
      <c r="L76" s="185"/>
      <c r="M76" s="181">
        <v>1</v>
      </c>
      <c r="N76" t="s" s="182">
        <v>12</v>
      </c>
      <c r="O76" s="181">
        <v>0</v>
      </c>
      <c r="P76" s="183"/>
      <c r="Q76" s="23"/>
      <c r="R76" s="24"/>
      <c r="S76" s="172">
        <v>58</v>
      </c>
      <c r="T76" t="s" s="173">
        <v>90</v>
      </c>
      <c r="U76" s="174">
        <v>0.8333333333333334</v>
      </c>
      <c r="V76" t="s" s="173">
        <f>IF(AND(M75&lt;&gt;"",O79&lt;&gt;""),IF(M79=O79,"Fehler in Spiel 53",IF(M79&gt;O79,F79,J79)),"Sieger Spiel 53")</f>
        <v>92</v>
      </c>
      <c r="W76" s="176"/>
      <c r="X76" s="176"/>
      <c r="Y76" s="176"/>
      <c r="Z76" t="s" s="177">
        <v>12</v>
      </c>
      <c r="AA76" t="s" s="178">
        <f>IF(AND(M80&lt;&gt;"",O80&lt;&gt;""),IF(M80=O80,"Fehler in Spiel 54",IF(M80&gt;O80,F80,J80)),"Sieger Spiel 54")</f>
        <v>93</v>
      </c>
      <c r="AB76" s="179"/>
      <c r="AC76" s="180"/>
      <c r="AD76" s="181">
        <v>1</v>
      </c>
      <c r="AE76" t="s" s="182">
        <v>12</v>
      </c>
      <c r="AF76" s="181">
        <v>0</v>
      </c>
      <c r="AG76" s="183"/>
      <c r="AH76" s="27"/>
    </row>
    <row r="77" ht="15" customHeight="1">
      <c r="A77" s="20"/>
      <c r="B77" s="172">
        <v>51</v>
      </c>
      <c r="C77" t="s" s="173">
        <v>94</v>
      </c>
      <c r="D77" s="174">
        <v>0.6666666666666667</v>
      </c>
      <c r="E77" s="175"/>
      <c r="F77" t="s" s="173">
        <f>IF(SUM(V7:V10)=12,T7,"Erster Gruppe B")</f>
        <v>95</v>
      </c>
      <c r="G77" s="176"/>
      <c r="H77" s="176"/>
      <c r="I77" t="s" s="177">
        <v>12</v>
      </c>
      <c r="J77" t="s" s="184">
        <f>IF(SUM(E7:E10)=12,C8,"Zweiter Gruppe A")</f>
        <v>15</v>
      </c>
      <c r="K77" s="175"/>
      <c r="L77" s="185"/>
      <c r="M77" s="181">
        <v>1</v>
      </c>
      <c r="N77" t="s" s="182">
        <v>12</v>
      </c>
      <c r="O77" s="181">
        <v>0</v>
      </c>
      <c r="P77" s="183"/>
      <c r="Q77" s="23"/>
      <c r="R77" s="24"/>
      <c r="S77" s="172">
        <v>59</v>
      </c>
      <c r="T77" t="s" s="173">
        <v>96</v>
      </c>
      <c r="U77" s="174">
        <v>0.6666666666666667</v>
      </c>
      <c r="V77" t="s" s="173">
        <f>IF(AND(M81&lt;&gt;"",O81&lt;&gt;""),IF(M81=O81,"Fehler in Spiel 55",IF(M81&gt;O81,F81,J81)),"Sieger Spiel 55")</f>
        <v>97</v>
      </c>
      <c r="W77" s="176"/>
      <c r="X77" s="176"/>
      <c r="Y77" s="176"/>
      <c r="Z77" t="s" s="177">
        <v>12</v>
      </c>
      <c r="AA77" t="s" s="178">
        <f>IF(AND(M82&lt;&gt;"",O82&lt;&gt;""),IF(M82=O82,"Fehler in Spiel 56",IF(M82&gt;O82,F82,J82)),"Sieger Spiel 56")</f>
        <v>98</v>
      </c>
      <c r="AB77" s="179"/>
      <c r="AC77" s="180"/>
      <c r="AD77" s="181">
        <v>1</v>
      </c>
      <c r="AE77" t="s" s="182">
        <v>12</v>
      </c>
      <c r="AF77" s="181">
        <v>0</v>
      </c>
      <c r="AG77" s="183"/>
      <c r="AH77" s="27"/>
    </row>
    <row r="78" ht="15" customHeight="1">
      <c r="A78" s="20"/>
      <c r="B78" s="172">
        <v>52</v>
      </c>
      <c r="C78" t="s" s="173">
        <v>94</v>
      </c>
      <c r="D78" s="174">
        <v>0.8333333333333334</v>
      </c>
      <c r="E78" s="175"/>
      <c r="F78" t="s" s="173">
        <f>IF(SUM(V24:V27)=12,T24,"Erster Gruppe D")</f>
        <v>99</v>
      </c>
      <c r="G78" s="176"/>
      <c r="H78" s="176"/>
      <c r="I78" t="s" s="177">
        <v>12</v>
      </c>
      <c r="J78" t="s" s="184">
        <f>IF(SUM(E24:E27)=12,C25,"Zweiter Gruppe C")</f>
        <v>100</v>
      </c>
      <c r="K78" s="175"/>
      <c r="L78" s="185"/>
      <c r="M78" s="181">
        <v>1</v>
      </c>
      <c r="N78" t="s" s="182">
        <v>12</v>
      </c>
      <c r="O78" s="181">
        <v>0</v>
      </c>
      <c r="P78" s="183"/>
      <c r="Q78" s="23"/>
      <c r="R78" s="24"/>
      <c r="S78" s="172">
        <v>60</v>
      </c>
      <c r="T78" t="s" s="173">
        <v>96</v>
      </c>
      <c r="U78" s="174">
        <v>0.8333333333333334</v>
      </c>
      <c r="V78" t="s" s="173">
        <f>IF(AND(M77&lt;&gt;"",O77&lt;&gt;""),IF(M77=O77,"Fehler in Spiel 51",IF(M77&gt;O77,F77,J77)),"Sieger Spiel 51")</f>
        <v>95</v>
      </c>
      <c r="W78" s="176"/>
      <c r="X78" s="176"/>
      <c r="Y78" s="176"/>
      <c r="Z78" t="s" s="177">
        <v>12</v>
      </c>
      <c r="AA78" t="s" s="178">
        <f>IF(AND(M78&lt;&gt;"",O78&lt;&gt;""),IF(M78=O78,"Fehler in Spiel 52",IF(M78&gt;O78,F78,J78)),"Sieger Spiel 52")</f>
        <v>99</v>
      </c>
      <c r="AB78" s="179"/>
      <c r="AC78" s="180"/>
      <c r="AD78" s="181">
        <v>1</v>
      </c>
      <c r="AE78" t="s" s="182">
        <v>12</v>
      </c>
      <c r="AF78" s="181">
        <v>0</v>
      </c>
      <c r="AG78" s="183"/>
      <c r="AH78" s="27"/>
    </row>
    <row r="79" ht="15.75" customHeight="1">
      <c r="A79" s="20"/>
      <c r="B79" s="172">
        <v>53</v>
      </c>
      <c r="C79" t="s" s="173">
        <v>101</v>
      </c>
      <c r="D79" s="174">
        <v>0.6666666666666667</v>
      </c>
      <c r="E79" s="175"/>
      <c r="F79" t="s" s="173">
        <f>IF(SUM(E41:E44)=12,C41,"Erster Gruppe E")</f>
        <v>92</v>
      </c>
      <c r="G79" s="176"/>
      <c r="H79" s="176"/>
      <c r="I79" t="s" s="177">
        <v>12</v>
      </c>
      <c r="J79" t="s" s="184">
        <f>IF(SUM(V41:V44)=12,T42,"Zweiter Gruppe F")</f>
        <v>102</v>
      </c>
      <c r="K79" s="175"/>
      <c r="L79" s="185"/>
      <c r="M79" s="181">
        <v>1</v>
      </c>
      <c r="N79" t="s" s="182">
        <v>12</v>
      </c>
      <c r="O79" s="181">
        <v>0</v>
      </c>
      <c r="P79" s="183"/>
      <c r="Q79" s="23"/>
      <c r="R79" s="24"/>
      <c r="S79" s="186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8"/>
      <c r="AE79" s="187"/>
      <c r="AF79" s="188"/>
      <c r="AG79" s="189"/>
      <c r="AH79" s="27"/>
    </row>
    <row r="80" ht="15.75" customHeight="1">
      <c r="A80" s="20"/>
      <c r="B80" s="172">
        <v>54</v>
      </c>
      <c r="C80" t="s" s="173">
        <v>101</v>
      </c>
      <c r="D80" s="174">
        <v>0.8333333333333334</v>
      </c>
      <c r="E80" s="175"/>
      <c r="F80" t="s" s="173">
        <f>IF(SUM(E58:E61)=12,C58,"Erster Gruppe G")</f>
        <v>93</v>
      </c>
      <c r="G80" s="176"/>
      <c r="H80" s="176"/>
      <c r="I80" t="s" s="177">
        <v>12</v>
      </c>
      <c r="J80" t="s" s="178">
        <f>IF(SUM(V58:V61)=12,T59,"Zweiter Gruppe H")</f>
        <v>103</v>
      </c>
      <c r="K80" s="179"/>
      <c r="L80" s="180"/>
      <c r="M80" s="181">
        <v>1</v>
      </c>
      <c r="N80" t="s" s="182">
        <v>12</v>
      </c>
      <c r="O80" s="181">
        <v>0</v>
      </c>
      <c r="P80" s="183"/>
      <c r="Q80" s="23"/>
      <c r="R80" s="87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8"/>
    </row>
    <row r="81" ht="15.6" customHeight="1">
      <c r="A81" s="20"/>
      <c r="B81" s="172">
        <v>55</v>
      </c>
      <c r="C81" t="s" s="173">
        <v>104</v>
      </c>
      <c r="D81" s="174">
        <v>0.6666666666666667</v>
      </c>
      <c r="E81" s="175"/>
      <c r="F81" t="s" s="173">
        <f>IF(SUM(V41:V44)=12,T41,"Erster Gruppe F")</f>
        <v>97</v>
      </c>
      <c r="G81" s="176"/>
      <c r="H81" s="176"/>
      <c r="I81" t="s" s="177">
        <v>12</v>
      </c>
      <c r="J81" t="s" s="178">
        <f>IF(SUM(E41:E44)=12,C42,"Zweiter Gruppe E")</f>
        <v>105</v>
      </c>
      <c r="K81" s="179"/>
      <c r="L81" s="180"/>
      <c r="M81" s="181">
        <v>1</v>
      </c>
      <c r="N81" t="s" s="182">
        <v>12</v>
      </c>
      <c r="O81" s="181">
        <v>0</v>
      </c>
      <c r="P81" s="183"/>
      <c r="Q81" s="23"/>
      <c r="R81" s="24"/>
      <c r="S81" s="26"/>
      <c r="T81" s="26"/>
      <c r="U81" s="26"/>
      <c r="V81" s="26"/>
      <c r="W81" s="26"/>
      <c r="X81" s="26"/>
      <c r="Y81" s="26"/>
      <c r="Z81" t="s" s="25">
        <v>106</v>
      </c>
      <c r="AA81" s="26"/>
      <c r="AB81" s="26"/>
      <c r="AC81" s="26"/>
      <c r="AD81" s="26"/>
      <c r="AE81" s="26"/>
      <c r="AF81" s="26"/>
      <c r="AG81" s="26"/>
      <c r="AH81" s="27"/>
    </row>
    <row r="82" ht="15" customHeight="1">
      <c r="A82" s="20"/>
      <c r="B82" s="172">
        <v>56</v>
      </c>
      <c r="C82" t="s" s="173">
        <v>104</v>
      </c>
      <c r="D82" s="174">
        <v>0.8333333333333334</v>
      </c>
      <c r="E82" s="175"/>
      <c r="F82" t="s" s="173">
        <f>IF(SUM(V58:V61)=12,T58,"Erster Gruppe H")</f>
        <v>107</v>
      </c>
      <c r="G82" s="176"/>
      <c r="H82" s="176"/>
      <c r="I82" t="s" s="177">
        <v>12</v>
      </c>
      <c r="J82" t="s" s="178">
        <f>IF(SUM(E58:E61)=12,C59,"Zweiter Gruppe G")</f>
        <v>98</v>
      </c>
      <c r="K82" s="179"/>
      <c r="L82" s="180"/>
      <c r="M82" s="181">
        <v>0</v>
      </c>
      <c r="N82" t="s" s="182">
        <v>12</v>
      </c>
      <c r="O82" s="181">
        <v>1</v>
      </c>
      <c r="P82" s="183"/>
      <c r="Q82" s="23"/>
      <c r="R82" s="24"/>
      <c r="S82" t="s" s="161">
        <v>25</v>
      </c>
      <c r="T82" t="s" s="162">
        <v>26</v>
      </c>
      <c r="U82" t="s" s="163">
        <v>27</v>
      </c>
      <c r="V82" s="168"/>
      <c r="W82" s="168"/>
      <c r="X82" s="168"/>
      <c r="Y82" s="164"/>
      <c r="Z82" t="s" s="163">
        <v>28</v>
      </c>
      <c r="AA82" s="164"/>
      <c r="AB82" s="164"/>
      <c r="AC82" s="168"/>
      <c r="AD82" s="169"/>
      <c r="AE82" t="s" s="163">
        <v>6</v>
      </c>
      <c r="AF82" s="170"/>
      <c r="AG82" s="171"/>
      <c r="AH82" s="27"/>
    </row>
    <row r="83" ht="15.75" customHeight="1">
      <c r="A83" s="20"/>
      <c r="B83" s="186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8"/>
      <c r="N83" s="187"/>
      <c r="O83" s="188"/>
      <c r="P83" s="189"/>
      <c r="Q83" s="23"/>
      <c r="R83" s="24"/>
      <c r="S83" s="172">
        <v>61</v>
      </c>
      <c r="T83" t="s" s="173">
        <v>108</v>
      </c>
      <c r="U83" s="190">
        <v>0.8333333333333334</v>
      </c>
      <c r="V83" s="175"/>
      <c r="W83" t="s" s="173">
        <f>IF(AND(AD75&lt;&gt;"",AF75&lt;&gt;""),IF(AD75=AF75,"Fehler in Spiel 57",IF(AD75&gt;AF75,V75,AA75)),"Sieger Spiel 57")</f>
        <v>88</v>
      </c>
      <c r="X83" s="176"/>
      <c r="Y83" s="176"/>
      <c r="Z83" t="s" s="177">
        <v>12</v>
      </c>
      <c r="AA83" t="s" s="178">
        <f>IF(AND(AD76&lt;&gt;"",AF76&lt;&gt;""),IF(AD76=AF76,"Fehler in Spiel 58",IF(AD76&gt;AF76,V76,AA76)),"Sieger Spiel 58")</f>
        <v>92</v>
      </c>
      <c r="AB83" s="179"/>
      <c r="AC83" s="180"/>
      <c r="AD83" s="181">
        <v>0</v>
      </c>
      <c r="AE83" t="s" s="182">
        <v>12</v>
      </c>
      <c r="AF83" s="181">
        <v>1</v>
      </c>
      <c r="AG83" s="183"/>
      <c r="AH83" s="27"/>
    </row>
    <row r="84" ht="15" customHeight="1">
      <c r="A84" s="15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87"/>
      <c r="R84" s="24"/>
      <c r="S84" s="172">
        <v>62</v>
      </c>
      <c r="T84" t="s" s="173">
        <v>109</v>
      </c>
      <c r="U84" s="190">
        <v>0.8333333333333334</v>
      </c>
      <c r="V84" s="175"/>
      <c r="W84" t="s" s="173">
        <f>IF(AND(AD78&lt;&gt;"",AF78&lt;&gt;""),IF(AD78=AF78,"Fehler in Spiel 60",IF(AD78&gt;AF78,V78,AA78)),"Sieger Spiel 60")</f>
        <v>95</v>
      </c>
      <c r="X84" s="176"/>
      <c r="Y84" s="176"/>
      <c r="Z84" t="s" s="177">
        <v>12</v>
      </c>
      <c r="AA84" t="s" s="178">
        <f>IF(AND(AD77&lt;&gt;"",AF77&lt;&gt;""),IF(AD77=AF77,"Fehler in Spiel 59",IF(AD77&gt;AF77,V77,AA77)),"Sieger Spiel 59")</f>
        <v>97</v>
      </c>
      <c r="AB84" s="179"/>
      <c r="AC84" s="180"/>
      <c r="AD84" s="181">
        <v>0</v>
      </c>
      <c r="AE84" t="s" s="182">
        <v>12</v>
      </c>
      <c r="AF84" s="181">
        <v>1</v>
      </c>
      <c r="AG84" s="183"/>
      <c r="AH84" s="27"/>
    </row>
    <row r="85" ht="15.75" customHeight="1">
      <c r="A85" s="15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24"/>
      <c r="S85" s="186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8"/>
      <c r="AE85" s="187"/>
      <c r="AF85" s="188"/>
      <c r="AG85" s="189"/>
      <c r="AH85" s="27"/>
    </row>
    <row r="86" ht="15.75" customHeight="1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87"/>
      <c r="R86" s="87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8"/>
    </row>
    <row r="87" ht="15.75" customHeight="1">
      <c r="A87" s="20"/>
      <c r="B87" t="s" s="21">
        <v>110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3"/>
      <c r="R87" s="24"/>
      <c r="S87" t="s" s="21">
        <v>111</v>
      </c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7"/>
    </row>
    <row r="88" ht="15.75" customHeight="1">
      <c r="A88" s="20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3"/>
      <c r="R88" s="24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7"/>
    </row>
    <row r="89" ht="15" customHeight="1">
      <c r="A89" s="20"/>
      <c r="B89" t="s" s="191">
        <v>25</v>
      </c>
      <c r="C89" t="s" s="192">
        <v>26</v>
      </c>
      <c r="D89" t="s" s="193">
        <v>27</v>
      </c>
      <c r="E89" s="194"/>
      <c r="F89" s="194"/>
      <c r="G89" s="194"/>
      <c r="H89" s="195"/>
      <c r="I89" t="s" s="193">
        <v>28</v>
      </c>
      <c r="J89" s="195"/>
      <c r="K89" s="195"/>
      <c r="L89" s="194"/>
      <c r="M89" s="196"/>
      <c r="N89" t="s" s="193">
        <v>6</v>
      </c>
      <c r="O89" s="197"/>
      <c r="P89" s="198"/>
      <c r="Q89" s="23"/>
      <c r="R89" s="24"/>
      <c r="S89" t="s" s="191">
        <v>25</v>
      </c>
      <c r="T89" t="s" s="192">
        <v>26</v>
      </c>
      <c r="U89" t="s" s="193">
        <v>27</v>
      </c>
      <c r="V89" s="194"/>
      <c r="W89" s="194"/>
      <c r="X89" s="194"/>
      <c r="Y89" s="195"/>
      <c r="Z89" t="s" s="193">
        <v>28</v>
      </c>
      <c r="AA89" s="195"/>
      <c r="AB89" s="195"/>
      <c r="AC89" s="194"/>
      <c r="AD89" s="196"/>
      <c r="AE89" t="s" s="193">
        <v>6</v>
      </c>
      <c r="AF89" s="197"/>
      <c r="AG89" s="198"/>
      <c r="AH89" s="27"/>
    </row>
    <row r="90" ht="15" customHeight="1">
      <c r="A90" s="20"/>
      <c r="B90" s="172">
        <v>63</v>
      </c>
      <c r="C90" t="s" s="173">
        <v>112</v>
      </c>
      <c r="D90" s="190">
        <v>0.6666666666666667</v>
      </c>
      <c r="E90" s="175"/>
      <c r="F90" t="s" s="173">
        <f>IF(AND(AD83&lt;&gt;"",AF83&lt;&gt;""),IF(AD83=AF83,"Fehler in Spiel 61",IF(AD83&lt;AF83,W83,AA83)),"Verlierer Spiel 61")</f>
        <v>88</v>
      </c>
      <c r="G90" s="176"/>
      <c r="H90" s="176"/>
      <c r="I90" t="s" s="177">
        <v>12</v>
      </c>
      <c r="J90" t="s" s="184">
        <f>IF(AND(AD84&lt;&gt;"",AF84&lt;&gt;""),IF(AD84=AF84,"Fehler in Spiel 62",IF(AD84&lt;AF84,W84,AA84)),"Sieger Spiel 62")</f>
        <v>95</v>
      </c>
      <c r="K90" s="175"/>
      <c r="L90" s="185"/>
      <c r="M90" s="199"/>
      <c r="N90" t="s" s="182">
        <v>12</v>
      </c>
      <c r="O90" s="199"/>
      <c r="P90" s="183"/>
      <c r="Q90" s="23"/>
      <c r="R90" s="24"/>
      <c r="S90" s="172">
        <v>64</v>
      </c>
      <c r="T90" t="s" s="173">
        <v>113</v>
      </c>
      <c r="U90" s="190">
        <v>0.7083333333333333</v>
      </c>
      <c r="V90" s="175"/>
      <c r="W90" t="s" s="173">
        <f>IF(AND(AD83&lt;&gt;"",AF83&lt;&gt;""),IF(AD83=AF83,"Fehler in Spiel 61",IF(AD83&gt;AF83,W83,AA83)),"Sieger Spiel 61")</f>
        <v>92</v>
      </c>
      <c r="X90" s="176"/>
      <c r="Y90" s="176"/>
      <c r="Z90" t="s" s="177">
        <v>12</v>
      </c>
      <c r="AA90" t="s" s="184">
        <f>IF(AND(AD84&lt;&gt;"",AF84&lt;&gt;""),IF(AD84=AF84,"Fehler in Spiel 62",IF(AD84&gt;AF84,W84,AA84)),"Sieger Spiel 62")</f>
        <v>97</v>
      </c>
      <c r="AB90" s="175"/>
      <c r="AC90" s="185"/>
      <c r="AD90" s="181">
        <v>0</v>
      </c>
      <c r="AE90" t="s" s="182">
        <v>12</v>
      </c>
      <c r="AF90" s="181">
        <v>1</v>
      </c>
      <c r="AG90" s="183"/>
      <c r="AH90" s="27"/>
    </row>
    <row r="91" ht="15.75" customHeight="1">
      <c r="A91" s="20"/>
      <c r="B91" s="186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8"/>
      <c r="N91" s="187"/>
      <c r="O91" s="188"/>
      <c r="P91" s="189"/>
      <c r="Q91" s="23"/>
      <c r="R91" s="24"/>
      <c r="S91" s="186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8"/>
      <c r="AE91" s="187"/>
      <c r="AF91" s="188"/>
      <c r="AG91" s="189"/>
      <c r="AH91" s="27"/>
    </row>
    <row r="92" ht="15" customHeight="1">
      <c r="A92" s="15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87"/>
      <c r="R92" s="87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88"/>
    </row>
    <row r="93" ht="15.75" customHeight="1">
      <c r="A93" s="15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200"/>
      <c r="N93" s="201"/>
      <c r="O93" s="202"/>
      <c r="P93" s="16"/>
      <c r="Q93" s="16"/>
      <c r="R93" s="16"/>
      <c r="S93" s="202"/>
      <c r="T93" s="202"/>
      <c r="U93" s="203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8"/>
    </row>
    <row r="94" ht="15.75" customHeight="1">
      <c r="A94" s="15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4"/>
      <c r="N94" t="s" s="21">
        <v>114</v>
      </c>
      <c r="O94" s="22"/>
      <c r="P94" s="22"/>
      <c r="Q94" s="22"/>
      <c r="R94" s="22"/>
      <c r="S94" s="22"/>
      <c r="T94" s="22"/>
      <c r="U94" s="23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88"/>
    </row>
    <row r="95" ht="15.75" customHeight="1">
      <c r="A95" s="15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4"/>
      <c r="N95" s="22"/>
      <c r="O95" s="22"/>
      <c r="P95" s="22"/>
      <c r="Q95" s="22"/>
      <c r="R95" s="22"/>
      <c r="S95" s="22"/>
      <c r="T95" s="22"/>
      <c r="U95" s="23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88"/>
    </row>
    <row r="96" ht="15.75" customHeight="1">
      <c r="A96" s="15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4"/>
      <c r="N96" t="s" s="206">
        <f>IF(AND(AD90&lt;&gt;"",AF90&lt;&gt;""),IF(AD90=AF90,"Fehler in Spiel 51",IF(AD90&gt;AF90,W90,AA90)),"")</f>
        <v>115</v>
      </c>
      <c r="O96" s="207"/>
      <c r="P96" s="207"/>
      <c r="Q96" s="207"/>
      <c r="R96" s="207"/>
      <c r="S96" s="207"/>
      <c r="T96" s="207"/>
      <c r="U96" s="23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88"/>
    </row>
    <row r="97" ht="21.75" customHeight="1">
      <c r="A97" s="15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4"/>
      <c r="N97" s="207"/>
      <c r="O97" s="207"/>
      <c r="P97" s="207"/>
      <c r="Q97" s="207"/>
      <c r="R97" s="207"/>
      <c r="S97" s="207"/>
      <c r="T97" s="207"/>
      <c r="U97" s="208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88"/>
    </row>
    <row r="98" ht="21.75" customHeight="1">
      <c r="A98" s="15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9"/>
      <c r="N98" s="207"/>
      <c r="O98" s="207"/>
      <c r="P98" s="207"/>
      <c r="Q98" s="207"/>
      <c r="R98" s="207"/>
      <c r="S98" s="207"/>
      <c r="T98" s="207"/>
      <c r="U98" s="208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88"/>
    </row>
    <row r="99" ht="21.75" customHeight="1">
      <c r="A99" s="15"/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9"/>
      <c r="N99" s="207"/>
      <c r="O99" s="207"/>
      <c r="P99" s="207"/>
      <c r="Q99" s="207"/>
      <c r="R99" s="207"/>
      <c r="S99" s="207"/>
      <c r="T99" s="207"/>
      <c r="U99" s="210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88"/>
    </row>
    <row r="100" ht="21" customHeight="1">
      <c r="A100" s="211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3"/>
      <c r="O100" s="213"/>
      <c r="P100" s="213"/>
      <c r="Q100" s="213"/>
      <c r="R100" s="213"/>
      <c r="S100" s="214"/>
      <c r="T100" s="214"/>
      <c r="U100" s="215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6"/>
    </row>
  </sheetData>
  <mergeCells count="188">
    <mergeCell ref="J80:L80"/>
    <mergeCell ref="J79:L79"/>
    <mergeCell ref="F79:H79"/>
    <mergeCell ref="J78:L78"/>
    <mergeCell ref="F78:H78"/>
    <mergeCell ref="AA84:AC84"/>
    <mergeCell ref="AA83:AC83"/>
    <mergeCell ref="F90:H90"/>
    <mergeCell ref="B87:P88"/>
    <mergeCell ref="W53:Y53"/>
    <mergeCell ref="J76:L76"/>
    <mergeCell ref="F76:H76"/>
    <mergeCell ref="F75:H75"/>
    <mergeCell ref="S73:AG73"/>
    <mergeCell ref="AA70:AC70"/>
    <mergeCell ref="W70:Y70"/>
    <mergeCell ref="AA77:AC77"/>
    <mergeCell ref="AA75:AC75"/>
    <mergeCell ref="V78:Y78"/>
    <mergeCell ref="V77:Y77"/>
    <mergeCell ref="V76:Y76"/>
    <mergeCell ref="AA76:AC76"/>
    <mergeCell ref="AA78:AC78"/>
    <mergeCell ref="N96:T99"/>
    <mergeCell ref="N94:T95"/>
    <mergeCell ref="W90:Y90"/>
    <mergeCell ref="F70:H70"/>
    <mergeCell ref="W2:AH3"/>
    <mergeCell ref="A1:L3"/>
    <mergeCell ref="AA69:AC69"/>
    <mergeCell ref="AA53:AC53"/>
    <mergeCell ref="W69:Y69"/>
    <mergeCell ref="W84:Y84"/>
    <mergeCell ref="AA68:AC68"/>
    <mergeCell ref="AA52:AC52"/>
    <mergeCell ref="W68:Y68"/>
    <mergeCell ref="J52:L52"/>
    <mergeCell ref="F68:H68"/>
    <mergeCell ref="S87:AG88"/>
    <mergeCell ref="V75:Y75"/>
    <mergeCell ref="J77:L77"/>
    <mergeCell ref="F77:H77"/>
    <mergeCell ref="AA65:AC65"/>
    <mergeCell ref="W83:Y83"/>
    <mergeCell ref="AA67:AC67"/>
    <mergeCell ref="AA51:AC51"/>
    <mergeCell ref="W67:Y67"/>
    <mergeCell ref="J51:L51"/>
    <mergeCell ref="F67:H67"/>
    <mergeCell ref="AA66:AC66"/>
    <mergeCell ref="AA50:AC50"/>
    <mergeCell ref="W66:Y66"/>
    <mergeCell ref="T58:U58"/>
    <mergeCell ref="C58:D58"/>
    <mergeCell ref="S56:AG56"/>
    <mergeCell ref="B56:P56"/>
    <mergeCell ref="F69:H69"/>
    <mergeCell ref="J53:L53"/>
    <mergeCell ref="F53:H53"/>
    <mergeCell ref="J75:L75"/>
    <mergeCell ref="S39:AG39"/>
    <mergeCell ref="B39:P39"/>
    <mergeCell ref="W52:Y52"/>
    <mergeCell ref="AA36:AC36"/>
    <mergeCell ref="W36:Y36"/>
    <mergeCell ref="F52:H52"/>
    <mergeCell ref="J36:L36"/>
    <mergeCell ref="W65:Y65"/>
    <mergeCell ref="AA49:AC49"/>
    <mergeCell ref="F36:H36"/>
    <mergeCell ref="W51:Y51"/>
    <mergeCell ref="AA35:AC35"/>
    <mergeCell ref="F51:H51"/>
    <mergeCell ref="J35:L35"/>
    <mergeCell ref="C61:D61"/>
    <mergeCell ref="F49:H49"/>
    <mergeCell ref="J33:L33"/>
    <mergeCell ref="J81:L81"/>
    <mergeCell ref="T41:U41"/>
    <mergeCell ref="M1:V4"/>
    <mergeCell ref="C41:D41"/>
    <mergeCell ref="F48:H48"/>
    <mergeCell ref="C60:D60"/>
    <mergeCell ref="J32:L32"/>
    <mergeCell ref="C59:D59"/>
    <mergeCell ref="B63:P63"/>
    <mergeCell ref="F47:L47"/>
    <mergeCell ref="J31:L31"/>
    <mergeCell ref="W50:Y50"/>
    <mergeCell ref="AA34:AC34"/>
    <mergeCell ref="F50:H50"/>
    <mergeCell ref="J34:L34"/>
    <mergeCell ref="T61:U61"/>
    <mergeCell ref="W49:Y49"/>
    <mergeCell ref="AA33:AC33"/>
    <mergeCell ref="C24:D24"/>
    <mergeCell ref="W34:Y34"/>
    <mergeCell ref="AA18:AC18"/>
    <mergeCell ref="B5:P5"/>
    <mergeCell ref="J70:L70"/>
    <mergeCell ref="W18:Y18"/>
    <mergeCell ref="W33:Y33"/>
    <mergeCell ref="AA17:AC17"/>
    <mergeCell ref="J69:L69"/>
    <mergeCell ref="W17:Y17"/>
    <mergeCell ref="F80:H80"/>
    <mergeCell ref="T24:U24"/>
    <mergeCell ref="F33:H33"/>
    <mergeCell ref="J17:L17"/>
    <mergeCell ref="S22:AG22"/>
    <mergeCell ref="AA19:AC19"/>
    <mergeCell ref="W35:Y35"/>
    <mergeCell ref="B22:P22"/>
    <mergeCell ref="W19:Y19"/>
    <mergeCell ref="J82:L82"/>
    <mergeCell ref="S46:AG46"/>
    <mergeCell ref="T42:U42"/>
    <mergeCell ref="W30:AC30"/>
    <mergeCell ref="AA14:AC14"/>
    <mergeCell ref="W64:AC64"/>
    <mergeCell ref="AA48:AC48"/>
    <mergeCell ref="F35:H35"/>
    <mergeCell ref="J19:L19"/>
    <mergeCell ref="F82:H82"/>
    <mergeCell ref="J66:L66"/>
    <mergeCell ref="T26:U26"/>
    <mergeCell ref="W14:Y14"/>
    <mergeCell ref="C25:D25"/>
    <mergeCell ref="B29:P29"/>
    <mergeCell ref="F13:L13"/>
    <mergeCell ref="C44:D44"/>
    <mergeCell ref="F32:H32"/>
    <mergeCell ref="J16:L16"/>
    <mergeCell ref="T7:U7"/>
    <mergeCell ref="F16:H16"/>
    <mergeCell ref="C26:D26"/>
    <mergeCell ref="F14:H14"/>
    <mergeCell ref="J67:L67"/>
    <mergeCell ref="T27:U27"/>
    <mergeCell ref="W15:Y15"/>
    <mergeCell ref="J68:L68"/>
    <mergeCell ref="W16:Y16"/>
    <mergeCell ref="C27:D27"/>
    <mergeCell ref="F15:H15"/>
    <mergeCell ref="J50:L50"/>
    <mergeCell ref="F66:H66"/>
    <mergeCell ref="T10:U10"/>
    <mergeCell ref="W48:Y48"/>
    <mergeCell ref="T60:U60"/>
    <mergeCell ref="AA32:AC32"/>
    <mergeCell ref="F19:H19"/>
    <mergeCell ref="B12:P12"/>
    <mergeCell ref="T59:U59"/>
    <mergeCell ref="S63:AG63"/>
    <mergeCell ref="W47:AC47"/>
    <mergeCell ref="AA31:AC31"/>
    <mergeCell ref="F18:H18"/>
    <mergeCell ref="F65:H65"/>
    <mergeCell ref="J49:L49"/>
    <mergeCell ref="T9:U9"/>
    <mergeCell ref="B73:P73"/>
    <mergeCell ref="S5:AG5"/>
    <mergeCell ref="T44:U44"/>
    <mergeCell ref="W32:Y32"/>
    <mergeCell ref="AA16:AC16"/>
    <mergeCell ref="C43:D43"/>
    <mergeCell ref="F31:H31"/>
    <mergeCell ref="J15:L15"/>
    <mergeCell ref="F17:H17"/>
    <mergeCell ref="E21:F21"/>
    <mergeCell ref="F64:L64"/>
    <mergeCell ref="J48:L48"/>
    <mergeCell ref="S12:AG12"/>
    <mergeCell ref="T8:U8"/>
    <mergeCell ref="B46:P46"/>
    <mergeCell ref="C42:D42"/>
    <mergeCell ref="F30:L30"/>
    <mergeCell ref="J14:L14"/>
    <mergeCell ref="T43:U43"/>
    <mergeCell ref="W31:Y31"/>
    <mergeCell ref="AA15:AC15"/>
    <mergeCell ref="F81:H81"/>
    <mergeCell ref="J65:L65"/>
    <mergeCell ref="W13:AC13"/>
    <mergeCell ref="T25:U25"/>
    <mergeCell ref="S29:AG29"/>
    <mergeCell ref="F34:H34"/>
    <mergeCell ref="J18:L18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O66"/>
  <sheetViews>
    <sheetView workbookViewId="0" showGridLines="0" defaultGridColor="1"/>
  </sheetViews>
  <sheetFormatPr defaultColWidth="11.5" defaultRowHeight="15" customHeight="1" outlineLevelRow="0" outlineLevelCol="0"/>
  <cols>
    <col min="1" max="1" width="11.5" style="217" customWidth="1"/>
    <col min="2" max="2" width="15.8516" style="217" customWidth="1"/>
    <col min="3" max="3" width="6.17188" style="217" customWidth="1"/>
    <col min="4" max="4" width="5.5" style="217" customWidth="1"/>
    <col min="5" max="5" width="4.67188" style="217" customWidth="1"/>
    <col min="6" max="6" width="5.5" style="217" customWidth="1"/>
    <col min="7" max="7" width="3.5" style="217" customWidth="1"/>
    <col min="8" max="8" width="3.67188" style="217" customWidth="1"/>
    <col min="9" max="9" width="3.5" style="217" customWidth="1"/>
    <col min="10" max="10" width="3.5" style="217" customWidth="1"/>
    <col min="11" max="11" width="7.35156" style="217" customWidth="1"/>
    <col min="12" max="12" width="6.85156" style="217" customWidth="1"/>
    <col min="13" max="13" width="11.5" style="217" customWidth="1"/>
    <col min="14" max="14" width="11.5" style="217" customWidth="1"/>
    <col min="15" max="15" width="11.5" style="217" customWidth="1"/>
    <col min="16" max="256" width="11.5" style="217" customWidth="1"/>
  </cols>
  <sheetData>
    <row r="1" ht="15" customHeight="1">
      <c r="A1" t="s" s="218">
        <v>116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ht="1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ht="1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19"/>
      <c r="N3" s="219"/>
      <c r="O3" s="219"/>
    </row>
    <row r="4" ht="15" customHeigh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3"/>
      <c r="N4" s="219"/>
      <c r="O4" s="219"/>
    </row>
    <row r="5" ht="15" customHeight="1">
      <c r="A5" t="s" s="224">
        <v>117</v>
      </c>
      <c r="B5" t="s" s="225">
        <v>118</v>
      </c>
      <c r="C5" t="s" s="226">
        <v>2</v>
      </c>
      <c r="D5" t="s" s="226">
        <v>3</v>
      </c>
      <c r="E5" t="s" s="226">
        <v>4</v>
      </c>
      <c r="F5" t="s" s="227">
        <v>5</v>
      </c>
      <c r="G5" s="222"/>
      <c r="H5" t="s" s="228">
        <v>6</v>
      </c>
      <c r="I5" s="222"/>
      <c r="J5" t="s" s="228">
        <v>7</v>
      </c>
      <c r="K5" t="s" s="225">
        <v>8</v>
      </c>
      <c r="L5" t="s" s="225">
        <v>119</v>
      </c>
      <c r="M5" t="s" s="229">
        <v>120</v>
      </c>
      <c r="N5" t="s" s="218">
        <v>121</v>
      </c>
      <c r="O5" t="s" s="218">
        <v>122</v>
      </c>
    </row>
    <row r="6" ht="15" customHeight="1">
      <c r="A6" s="230">
        <f>IF(SUM(L$6:L$9)=4,1,IF(COUNTIF(L$6:L6,L6)&gt;1,L6+M6+N6+O6,L6))</f>
        <v>2</v>
      </c>
      <c r="B6" t="s" s="231">
        <v>30</v>
      </c>
      <c r="C6" s="232">
        <f>COUNT('Tabelle'!M14,'Tabelle'!M16,'Tabelle'!O18)</f>
        <v>3</v>
      </c>
      <c r="D6" s="232">
        <f>SUM('Ränge2'!B4:D4)</f>
        <v>1</v>
      </c>
      <c r="E6" s="232">
        <f>SUM('Ränge2'!E4:G4)</f>
        <v>2</v>
      </c>
      <c r="F6" t="s" s="226">
        <v>123</v>
      </c>
      <c r="G6" s="233">
        <f>SUM('Tabelle'!M14,'Tabelle'!M16,'Tabelle'!O18)</f>
        <v>5</v>
      </c>
      <c r="H6" t="s" s="228">
        <v>12</v>
      </c>
      <c r="I6" s="233">
        <f>SUM('Tabelle'!O14,'Tabelle'!O16,'Tabelle'!M18)</f>
        <v>3</v>
      </c>
      <c r="J6" s="234">
        <f>G6-I6</f>
        <v>2</v>
      </c>
      <c r="K6" s="234">
        <f>3*D6+E6</f>
        <v>5</v>
      </c>
      <c r="L6" s="234">
        <f>'Ränge2'!AO4</f>
        <v>2</v>
      </c>
      <c r="M6" s="235">
        <f>IF(COUNTIF(L$6:L$9,1)&gt;1,IF(L6=1,COUNTIF($L$6:L6,1)-1,0),0)</f>
        <v>0</v>
      </c>
      <c r="N6" s="236">
        <f>IF(COUNTIF(L$6:L$9,2)&gt;1,IF(L6=2,COUNTIF($L$6:L6,2)-1,0),0)</f>
        <v>0</v>
      </c>
      <c r="O6" s="236">
        <f>IF(COUNTIF(L$6:L$9,3)&gt;1,IF(L6=3,COUNTIF($L6:L$6,3)-1,0),0)</f>
        <v>0</v>
      </c>
    </row>
    <row r="7" ht="15" customHeight="1">
      <c r="A7" s="230">
        <f>IF(SUM(L$6:L$9)=4,2,IF(COUNTIF(L$6:L7,L7)&gt;1,L7+M7+N7+O7,L7))</f>
        <v>4</v>
      </c>
      <c r="B7" t="s" s="231">
        <v>31</v>
      </c>
      <c r="C7" s="232">
        <f>COUNT('Tabelle'!O14,'Tabelle'!O17,'Tabelle'!M19)</f>
        <v>3</v>
      </c>
      <c r="D7" s="232">
        <f>SUM('Ränge2'!B5:D5)</f>
        <v>0</v>
      </c>
      <c r="E7" s="232">
        <f>SUM('Ränge2'!E5:G5)</f>
        <v>0</v>
      </c>
      <c r="F7" t="s" s="226">
        <v>123</v>
      </c>
      <c r="G7" s="233">
        <f>SUM('Tabelle'!O14,'Tabelle'!O17,'Tabelle'!M19)</f>
        <v>2</v>
      </c>
      <c r="H7" t="s" s="228">
        <v>12</v>
      </c>
      <c r="I7" s="233">
        <f>SUM('Tabelle'!M14,'Tabelle'!M17,'Tabelle'!O19)</f>
        <v>7</v>
      </c>
      <c r="J7" s="234">
        <f>G7-I7</f>
        <v>-5</v>
      </c>
      <c r="K7" s="234">
        <f>3*D7+E7</f>
        <v>0</v>
      </c>
      <c r="L7" s="234">
        <f>'Ränge2'!AO5</f>
        <v>4</v>
      </c>
      <c r="M7" s="235">
        <f>IF(COUNTIF(L$6:L$9,1)&gt;1,IF(L7=1,COUNTIF($L$6:L7,1)-1,0),0)</f>
        <v>0</v>
      </c>
      <c r="N7" s="236">
        <f>IF(COUNTIF(L$6:L$9,2)&gt;1,IF(L7=2,COUNTIF($L$6:L7,2)-1,0),0)</f>
        <v>0</v>
      </c>
      <c r="O7" s="236">
        <f>IF(COUNTIF(L$6:L$9,3)&gt;1,IF(L7=3,COUNTIF($L$6:L7,3)-1,0),0)</f>
        <v>0</v>
      </c>
    </row>
    <row r="8" ht="15" customHeight="1">
      <c r="A8" s="230">
        <f>IF(SUM(L$6:L$9)=4,3,IF(COUNTIF(L$6:L8,L8)&gt;1,L8+M8+N8+O8,L8))</f>
        <v>3</v>
      </c>
      <c r="B8" t="s" s="231">
        <v>33</v>
      </c>
      <c r="C8" s="232">
        <f>COUNT('Tabelle'!M15,'Tabelle'!O16,'Tabelle'!O19)</f>
        <v>3</v>
      </c>
      <c r="D8" s="232">
        <f>SUM('Ränge2'!B6:D6)</f>
        <v>1</v>
      </c>
      <c r="E8" s="232">
        <f>SUM('Ränge2'!E6:G6)</f>
        <v>1</v>
      </c>
      <c r="F8" t="s" s="226">
        <v>123</v>
      </c>
      <c r="G8" s="233">
        <f>SUM('Tabelle'!M15,'Tabelle'!O16,'Tabelle'!O19)</f>
        <v>4</v>
      </c>
      <c r="H8" t="s" s="228">
        <v>12</v>
      </c>
      <c r="I8" s="233">
        <f>SUM('Tabelle'!O15,'Tabelle'!M16,'Tabelle'!M19)</f>
        <v>4</v>
      </c>
      <c r="J8" s="234">
        <f>G8-I8</f>
        <v>0</v>
      </c>
      <c r="K8" s="234">
        <f>3*D8+E8</f>
        <v>4</v>
      </c>
      <c r="L8" s="234">
        <f>'Ränge2'!AO6</f>
        <v>3</v>
      </c>
      <c r="M8" s="235">
        <f>IF(COUNTIF(L$6:L$9,1)&gt;1,IF(L8=1,COUNTIF($L$6:L8,1)-1,0),0)</f>
        <v>0</v>
      </c>
      <c r="N8" s="236">
        <f>IF(COUNTIF(L$6:L$9,2)&gt;1,IF(L8=2,COUNTIF($L$6:L8,2)-1,0),0)</f>
        <v>0</v>
      </c>
      <c r="O8" s="236">
        <f>IF(COUNTIF(L$6:L$9,3)&gt;1,IF(L8=3,COUNTIF($L$6:L8,3)-1,0),0)</f>
        <v>0</v>
      </c>
    </row>
    <row r="9" ht="15" customHeight="1">
      <c r="A9" s="230">
        <f>IF(SUM(L$6:L$9)=4,4,IF(COUNTIF(L$6:L9,L9)&gt;1,L9+M9+N9+O9,L9))</f>
        <v>1</v>
      </c>
      <c r="B9" t="s" s="231">
        <v>34</v>
      </c>
      <c r="C9" s="232">
        <f>COUNT('Tabelle'!O15,'Tabelle'!M17,'Tabelle'!M18)</f>
        <v>3</v>
      </c>
      <c r="D9" s="232">
        <f>SUM('Ränge2'!B7:D7)</f>
        <v>2</v>
      </c>
      <c r="E9" s="232">
        <f>SUM('Ränge2'!E7:G7)</f>
        <v>1</v>
      </c>
      <c r="F9" t="s" s="226">
        <v>123</v>
      </c>
      <c r="G9" s="233">
        <f>SUM('Tabelle'!O15,'Tabelle'!M17,'Tabelle'!M18)</f>
        <v>7</v>
      </c>
      <c r="H9" t="s" s="228">
        <v>12</v>
      </c>
      <c r="I9" s="233">
        <f>SUM('Tabelle'!M15,'Tabelle'!O17,'Tabelle'!O18)</f>
        <v>4</v>
      </c>
      <c r="J9" s="234">
        <f>G9-I9</f>
        <v>3</v>
      </c>
      <c r="K9" s="234">
        <f>3*D9+E9</f>
        <v>7</v>
      </c>
      <c r="L9" s="234">
        <f>'Ränge2'!AO7</f>
        <v>1</v>
      </c>
      <c r="M9" s="235">
        <f>IF(COUNTIF(L$6:L$9,1)&gt;1,IF(L9=1,COUNTIF($L$6:L9,1)-1,0),0)</f>
        <v>0</v>
      </c>
      <c r="N9" s="236">
        <f>IF(COUNTIF(L$6:L$9,2)&gt;1,IF(L9=2,COUNTIF($L$6:L9,2)-1,0),0)</f>
        <v>0</v>
      </c>
      <c r="O9" s="236">
        <f>IF(COUNTIF(L$6:L$9,3)&gt;1,IF(L9=3,COUNTIF($L$6:L9,3)-1,0),0)</f>
        <v>0</v>
      </c>
    </row>
    <row r="10" ht="15" customHeight="1">
      <c r="A10" s="221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3"/>
      <c r="N10" s="219"/>
      <c r="O10" s="219"/>
    </row>
    <row r="11" ht="15" customHeight="1">
      <c r="A11" s="221"/>
      <c r="B11" t="s" s="231">
        <v>124</v>
      </c>
      <c r="C11" t="s" s="226">
        <v>2</v>
      </c>
      <c r="D11" t="s" s="226">
        <v>3</v>
      </c>
      <c r="E11" t="s" s="226">
        <v>4</v>
      </c>
      <c r="F11" t="s" s="227">
        <v>5</v>
      </c>
      <c r="G11" s="222"/>
      <c r="H11" t="s" s="228">
        <v>6</v>
      </c>
      <c r="I11" s="222"/>
      <c r="J11" t="s" s="228">
        <v>7</v>
      </c>
      <c r="K11" t="s" s="225">
        <v>8</v>
      </c>
      <c r="L11" t="s" s="225">
        <v>119</v>
      </c>
      <c r="M11" t="s" s="229">
        <v>120</v>
      </c>
      <c r="N11" t="s" s="218">
        <v>121</v>
      </c>
      <c r="O11" t="s" s="218">
        <v>122</v>
      </c>
    </row>
    <row r="12" ht="15" customHeight="1">
      <c r="A12" s="230">
        <f>IF(SUM(L$12:L$15)=4,1,IF(COUNTIF(L$12:L12,L12)&gt;1,L12+M12+N12+O12,L12))</f>
        <v>2</v>
      </c>
      <c r="B12" t="s" s="225">
        <v>16</v>
      </c>
      <c r="C12" s="234">
        <f>COUNT('Tabelle'!AD15,'Tabelle'!AD16,'Tabelle'!AF18)</f>
        <v>3</v>
      </c>
      <c r="D12" s="232">
        <f>SUM('Ränge2'!B10:D10)</f>
        <v>2</v>
      </c>
      <c r="E12" s="232">
        <f>SUM('Ränge2'!E10:G10)</f>
        <v>0</v>
      </c>
      <c r="F12" t="s" s="226">
        <v>123</v>
      </c>
      <c r="G12" s="234">
        <f>SUM('Tabelle'!AD15,'Tabelle'!AD16,'Tabelle'!AF18)</f>
        <v>5</v>
      </c>
      <c r="H12" t="s" s="228">
        <v>12</v>
      </c>
      <c r="I12" s="234">
        <f>SUM('Tabelle'!AF15,'Tabelle'!AF16,'Tabelle'!AD18)</f>
        <v>4</v>
      </c>
      <c r="J12" s="234">
        <f>G12-I12</f>
        <v>1</v>
      </c>
      <c r="K12" s="234">
        <f>3*D12+E12</f>
        <v>6</v>
      </c>
      <c r="L12" s="234">
        <f>'Ränge2'!AO10</f>
        <v>2</v>
      </c>
      <c r="M12" s="235">
        <f>IF(COUNTIF(L$12:L$15,1)&gt;1,IF(L12=1,COUNTIF($L$12:L12,1)-1,0),0)</f>
        <v>0</v>
      </c>
      <c r="N12" s="236">
        <f>IF(COUNTIF(L$12:L$15,2)&gt;1,IF(L12=2,COUNTIF($L$12:L12,2)-1,0),0)</f>
        <v>0</v>
      </c>
      <c r="O12" s="236">
        <f>IF(COUNTIF(L$12:L$15,3)&gt;1,IF(L12=3,COUNTIF($L$12:L12,3)-1,0),0)</f>
        <v>0</v>
      </c>
    </row>
    <row r="13" ht="15" customHeight="1">
      <c r="A13" s="230">
        <f>IF(SUM(L$12:L$15)=4,2,IF(COUNTIF(L$12:L13,L13)&gt;1,L13+M13+N13+O13,L13))</f>
        <v>1</v>
      </c>
      <c r="B13" t="s" s="225">
        <v>13</v>
      </c>
      <c r="C13" s="234">
        <f>COUNT('Tabelle'!AF15,'Tabelle'!AF17,'Tabelle'!AD19)</f>
        <v>3</v>
      </c>
      <c r="D13" s="232">
        <f>SUM('Ränge2'!B11:D11)</f>
        <v>3</v>
      </c>
      <c r="E13" s="232">
        <f>SUM('Ränge2'!E11:G11)</f>
        <v>0</v>
      </c>
      <c r="F13" t="s" s="226">
        <v>123</v>
      </c>
      <c r="G13" s="234">
        <f>SUM('Tabelle'!AF15,'Tabelle'!AF17,'Tabelle'!AD19)</f>
        <v>8</v>
      </c>
      <c r="H13" t="s" s="228">
        <v>12</v>
      </c>
      <c r="I13" s="234">
        <f>SUM('Tabelle'!AD15,'Tabelle'!AD17,'Tabelle'!AF19)</f>
        <v>2</v>
      </c>
      <c r="J13" s="234">
        <f>G13-I13</f>
        <v>6</v>
      </c>
      <c r="K13" s="234">
        <f>3*D13+E13</f>
        <v>9</v>
      </c>
      <c r="L13" s="234">
        <f>'Ränge2'!AO11</f>
        <v>1</v>
      </c>
      <c r="M13" s="235">
        <f>IF(COUNTIF(L$12:L$15,1)&gt;1,IF(L13=1,COUNTIF($L$12:L13,1)-1,0),0)</f>
        <v>0</v>
      </c>
      <c r="N13" s="236">
        <f>IF(COUNTIF(L$12:L$15,2)&gt;1,IF(L13=2,COUNTIF($L$12:L13,2)-1,0),0)</f>
        <v>0</v>
      </c>
      <c r="O13" s="236">
        <f>IF(COUNTIF(L$12:L$15,3)&gt;1,IF(L13=3,COUNTIF($L$12:L13,3)-1,0),0)</f>
        <v>0</v>
      </c>
    </row>
    <row r="14" ht="15" customHeight="1">
      <c r="A14" s="230">
        <f>IF(SUM(L$12:L$15)=4,3,IF(COUNTIF(L$12:L14,L14)&gt;1,L14+M14+N14+O14,L14))</f>
        <v>3</v>
      </c>
      <c r="B14" t="s" s="225">
        <v>19</v>
      </c>
      <c r="C14" s="234">
        <f>COUNT('Tabelle'!AD14,'Tabelle'!AF16,'Tabelle'!AF19)</f>
        <v>3</v>
      </c>
      <c r="D14" s="232">
        <f>SUM('Ränge2'!B12:D12)</f>
        <v>1</v>
      </c>
      <c r="E14" s="232">
        <f>SUM('Ränge2'!E12:G12)</f>
        <v>0</v>
      </c>
      <c r="F14" t="s" s="226">
        <v>123</v>
      </c>
      <c r="G14" s="234">
        <f>SUM('Tabelle'!AD14,'Tabelle'!AF16,'Tabelle'!AF19)</f>
        <v>3</v>
      </c>
      <c r="H14" t="s" s="228">
        <v>12</v>
      </c>
      <c r="I14" s="234">
        <f>SUM('Tabelle'!AF14,'Tabelle'!AD16,'Tabelle'!AD19)</f>
        <v>6</v>
      </c>
      <c r="J14" s="234">
        <f>G14-I14</f>
        <v>-3</v>
      </c>
      <c r="K14" s="234">
        <f>3*D14+E14</f>
        <v>3</v>
      </c>
      <c r="L14" s="234">
        <f>'Ränge2'!AO12</f>
        <v>3</v>
      </c>
      <c r="M14" s="235">
        <f>IF(COUNTIF(L$12:L$15,1)&gt;1,IF(L14=1,COUNTIF($L$12:L14,1)-1,0),0)</f>
        <v>0</v>
      </c>
      <c r="N14" s="236">
        <f>IF(COUNTIF(L$12:L$15,2)&gt;1,IF(L14=2,COUNTIF($L$12:L14,2)-1,0),0)</f>
        <v>0</v>
      </c>
      <c r="O14" s="236">
        <f>IF(COUNTIF(L$12:L$15,3)&gt;1,IF(L14=3,COUNTIF($L$12:L14,3)-1,0),0)</f>
        <v>0</v>
      </c>
    </row>
    <row r="15" ht="15" customHeight="1">
      <c r="A15" s="230">
        <f>IF(SUM(L$12:L$15)=4,4,IF(COUNTIF(L$12:L15,L15)&gt;1,L15+M15+N15+O15,L15))</f>
        <v>4</v>
      </c>
      <c r="B15" t="s" s="225">
        <v>22</v>
      </c>
      <c r="C15" s="234">
        <f>COUNT('Tabelle'!AF14,'Tabelle'!AD17,'Tabelle'!AD18)</f>
        <v>3</v>
      </c>
      <c r="D15" s="232">
        <f>SUM('Ränge2'!B13:D13)</f>
        <v>0</v>
      </c>
      <c r="E15" s="232">
        <f>SUM('Ränge2'!E13:G13)</f>
        <v>0</v>
      </c>
      <c r="F15" t="s" s="226">
        <v>123</v>
      </c>
      <c r="G15" s="234">
        <f>SUM('Tabelle'!AF14,'Tabelle'!AD17,'Tabelle'!AD18)</f>
        <v>2</v>
      </c>
      <c r="H15" t="s" s="228">
        <v>12</v>
      </c>
      <c r="I15" s="234">
        <f>SUM('Tabelle'!AD14,'Tabelle'!AF17,'Tabelle'!AF18)</f>
        <v>6</v>
      </c>
      <c r="J15" s="234">
        <f>G15-I15</f>
        <v>-4</v>
      </c>
      <c r="K15" s="234">
        <f>3*D15+E15</f>
        <v>0</v>
      </c>
      <c r="L15" s="234">
        <f>'Ränge2'!AO13</f>
        <v>4</v>
      </c>
      <c r="M15" s="235">
        <f>IF(COUNTIF(L$12:L$15,1)&gt;1,IF(L15=1,COUNTIF($L$12:L15,1)-1,0),0)</f>
        <v>0</v>
      </c>
      <c r="N15" s="236">
        <f>IF(COUNTIF(L$12:L$15,2)&gt;1,IF(L15=2,COUNTIF($L$12:L15,2)-1,0),0)</f>
        <v>0</v>
      </c>
      <c r="O15" s="236">
        <f>IF(COUNTIF(L$12:L$15,3)&gt;1,IF(L15=3,COUNTIF($L$12:L15,3)-1,0),0)</f>
        <v>0</v>
      </c>
    </row>
    <row r="16" ht="18" customHeight="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3"/>
      <c r="N16" s="219"/>
      <c r="O16" s="219"/>
    </row>
    <row r="17" ht="15" customHeight="1">
      <c r="A17" s="221"/>
      <c r="B17" t="s" s="225">
        <v>125</v>
      </c>
      <c r="C17" t="s" s="226">
        <v>2</v>
      </c>
      <c r="D17" t="s" s="226">
        <v>3</v>
      </c>
      <c r="E17" t="s" s="226">
        <v>4</v>
      </c>
      <c r="F17" t="s" s="227">
        <v>5</v>
      </c>
      <c r="G17" s="222"/>
      <c r="H17" t="s" s="228">
        <v>6</v>
      </c>
      <c r="I17" s="222"/>
      <c r="J17" t="s" s="228">
        <v>7</v>
      </c>
      <c r="K17" t="s" s="225">
        <v>8</v>
      </c>
      <c r="L17" t="s" s="225">
        <v>119</v>
      </c>
      <c r="M17" t="s" s="229">
        <v>120</v>
      </c>
      <c r="N17" t="s" s="218">
        <v>121</v>
      </c>
      <c r="O17" t="s" s="218">
        <v>122</v>
      </c>
    </row>
    <row r="18" ht="15" customHeight="1">
      <c r="A18" s="230">
        <f>IF(SUM(L$18:L$21)=4,1,IF(COUNTIF(L$18:L18,L18)&gt;1,L18+M18+N18+O18,L18))</f>
        <v>1</v>
      </c>
      <c r="B18" t="s" s="225">
        <v>40</v>
      </c>
      <c r="C18" s="234">
        <f>COUNT('Tabelle'!M31,'Tabelle'!M34,'Tabelle'!O35)</f>
        <v>3</v>
      </c>
      <c r="D18" s="234">
        <f>SUM('Ränge2'!B16:D16)</f>
        <v>3</v>
      </c>
      <c r="E18" s="234">
        <f>SUM('Ränge2'!E16:I16)</f>
        <v>0</v>
      </c>
      <c r="F18" t="s" s="226">
        <v>123</v>
      </c>
      <c r="G18" s="234">
        <f>SUM('Tabelle'!M31,'Tabelle'!M34,'Tabelle'!O35)</f>
        <v>9</v>
      </c>
      <c r="H18" t="s" s="228">
        <v>12</v>
      </c>
      <c r="I18" s="234">
        <f>SUM('Tabelle'!O31,'Tabelle'!O34,'Tabelle'!M35)</f>
        <v>1</v>
      </c>
      <c r="J18" s="234">
        <f>G18-I18</f>
        <v>8</v>
      </c>
      <c r="K18" s="234">
        <f>3*D18+E18</f>
        <v>9</v>
      </c>
      <c r="L18" s="234">
        <f>'Ränge2'!AO16</f>
        <v>1</v>
      </c>
      <c r="M18" s="235">
        <f>IF(COUNTIF(L$18:L$21,1)&gt;1,IF(L18=1,COUNTIF($L$18:L18,1)-1,0),0)</f>
        <v>0</v>
      </c>
      <c r="N18" s="236">
        <f>IF(COUNTIF(L$18:L$21,2)&gt;1,IF(L18=2,COUNTIF($L$18:L18,2)-1,0),0)</f>
        <v>0</v>
      </c>
      <c r="O18" s="236">
        <f>IF(COUNTIF(L$18:L$21,3)&gt;1,IF(L18=3,COUNTIF($L$18:L18,3)-1,0),0)</f>
        <v>0</v>
      </c>
    </row>
    <row r="19" ht="15" customHeight="1">
      <c r="A19" s="230">
        <f>IF(SUM(L$18:L$21)=4,2,IF(COUNTIF(L$18:L19,L19)&gt;1,L19+M19+N19+O19,L19))</f>
        <v>4</v>
      </c>
      <c r="B19" t="s" s="225">
        <v>46</v>
      </c>
      <c r="C19" s="234">
        <f>COUNT('Tabelle'!O31,'Tabelle'!O33,'Tabelle'!M36)</f>
        <v>3</v>
      </c>
      <c r="D19" s="234">
        <f>SUM('Ränge2'!B17:D17)</f>
        <v>0</v>
      </c>
      <c r="E19" s="234">
        <f>SUM('Ränge2'!E17:I17)</f>
        <v>0</v>
      </c>
      <c r="F19" t="s" s="226">
        <v>123</v>
      </c>
      <c r="G19" s="234">
        <f>SUM('Tabelle'!O31,'Tabelle'!O33,'Tabelle'!M36)</f>
        <v>1</v>
      </c>
      <c r="H19" t="s" s="228">
        <v>12</v>
      </c>
      <c r="I19" s="234">
        <f>SUM('Tabelle'!M31,'Tabelle'!M33,'Tabelle'!O36)</f>
        <v>7</v>
      </c>
      <c r="J19" s="234">
        <f>G19-I19</f>
        <v>-6</v>
      </c>
      <c r="K19" s="234">
        <f>3*D19+E19</f>
        <v>0</v>
      </c>
      <c r="L19" s="234">
        <f>'Ränge2'!AO17</f>
        <v>4</v>
      </c>
      <c r="M19" s="235">
        <f>IF(COUNTIF(L$18:L$21,1)&gt;1,IF(L19=1,COUNTIF($L$18:L19,1)-1,0),0)</f>
        <v>0</v>
      </c>
      <c r="N19" s="236">
        <f>IF(COUNTIF(L$18:L$21,2)&gt;1,IF(L19=2,COUNTIF($L$18:L19,2)-1,0),0)</f>
        <v>0</v>
      </c>
      <c r="O19" s="236">
        <f>IF(COUNTIF(L$18:L$21,3)&gt;1,IF(L19=3,COUNTIF($L$18:L19,3)-1,0),0)</f>
        <v>0</v>
      </c>
    </row>
    <row r="20" ht="15" customHeight="1">
      <c r="A20" s="230">
        <f>IF(SUM(L$18:L$21)=4,3,IF(COUNTIF(L$18:L20,L20)&gt;1,L20+M20+N20+O20,L20))</f>
        <v>3</v>
      </c>
      <c r="B20" t="s" s="225">
        <v>44</v>
      </c>
      <c r="C20" s="234">
        <f>COUNT('Tabelle'!M32,'Tabelle'!O34,'Tabelle'!O36)</f>
        <v>3</v>
      </c>
      <c r="D20" s="234">
        <f>SUM('Ränge2'!B18:D18)</f>
        <v>1</v>
      </c>
      <c r="E20" s="234">
        <f>SUM('Ränge2'!E18:I18)</f>
        <v>0</v>
      </c>
      <c r="F20" t="s" s="226">
        <v>123</v>
      </c>
      <c r="G20" s="234">
        <f>SUM('Tabelle'!M32,'Tabelle'!O34,'Tabelle'!O36)</f>
        <v>3</v>
      </c>
      <c r="H20" t="s" s="228">
        <v>12</v>
      </c>
      <c r="I20" s="234">
        <f>SUM('Tabelle'!O32,'Tabelle'!M34,'Tabelle'!M36)</f>
        <v>6</v>
      </c>
      <c r="J20" s="234">
        <f>G20-I20</f>
        <v>-3</v>
      </c>
      <c r="K20" s="234">
        <f>3*D20+E20</f>
        <v>3</v>
      </c>
      <c r="L20" s="234">
        <f>'Ränge2'!AO18</f>
        <v>3</v>
      </c>
      <c r="M20" s="235">
        <f>IF(COUNTIF(L$18:L$21,1)&gt;1,IF(L20=1,COUNTIF($L$18:L20,1)-1,0),0)</f>
        <v>0</v>
      </c>
      <c r="N20" s="236">
        <f>IF(COUNTIF(L$18:L$21,2)&gt;1,IF(L20=2,COUNTIF($L$18:L20,2)-1,0),0)</f>
        <v>0</v>
      </c>
      <c r="O20" s="236">
        <f>IF(COUNTIF(L$18:L$21,3)&gt;1,IF(L20=3,COUNTIF($L$18:L20,3)-1,0),0)</f>
        <v>0</v>
      </c>
    </row>
    <row r="21" ht="15" customHeight="1">
      <c r="A21" s="230">
        <f>IF(SUM(L$18:L$21)=4,4,IF(COUNTIF(L$18:L21,L21)&gt;1,L21+M21+N21+O21,L21))</f>
        <v>2</v>
      </c>
      <c r="B21" t="s" s="225">
        <v>42</v>
      </c>
      <c r="C21" s="234">
        <f>COUNT('Tabelle'!O32,'Tabelle'!M33,'Tabelle'!M35)</f>
        <v>3</v>
      </c>
      <c r="D21" s="234">
        <f>SUM('Ränge2'!B19:D19)</f>
        <v>2</v>
      </c>
      <c r="E21" s="234">
        <f>SUM('Ränge2'!E19:I19)</f>
        <v>0</v>
      </c>
      <c r="F21" t="s" s="226">
        <v>123</v>
      </c>
      <c r="G21" s="234">
        <f>SUM('Tabelle'!O32,'Tabelle'!M33,'Tabelle'!M35)</f>
        <v>5</v>
      </c>
      <c r="H21" t="s" s="228">
        <v>12</v>
      </c>
      <c r="I21" s="234">
        <f>SUM('Tabelle'!M32,'Tabelle'!O33,'Tabelle'!O35)</f>
        <v>4</v>
      </c>
      <c r="J21" s="234">
        <f>G21-I21</f>
        <v>1</v>
      </c>
      <c r="K21" s="234">
        <f>3*D21+E21</f>
        <v>6</v>
      </c>
      <c r="L21" s="234">
        <f>'Ränge2'!AO19</f>
        <v>2</v>
      </c>
      <c r="M21" s="235">
        <f>IF(COUNTIF(L$18:L$21,1)&gt;1,IF(L21=1,COUNTIF($L$18:L21,1)-1,0),0)</f>
        <v>0</v>
      </c>
      <c r="N21" s="236">
        <f>IF(COUNTIF(L$18:L$21,2)&gt;1,IF(L21=2,COUNTIF($L$18:L21,2)-1,0),0)</f>
        <v>0</v>
      </c>
      <c r="O21" s="236">
        <f>IF(COUNTIF(L$18:L$21,3)&gt;1,IF(L21=3,COUNTIF($L$18:L21,3)-1,0),0)</f>
        <v>0</v>
      </c>
    </row>
    <row r="22" ht="15" customHeight="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3"/>
      <c r="N22" s="219"/>
      <c r="O22" s="219"/>
    </row>
    <row r="23" ht="15" customHeight="1">
      <c r="A23" s="221"/>
      <c r="B23" t="s" s="225">
        <v>126</v>
      </c>
      <c r="C23" t="s" s="226">
        <v>2</v>
      </c>
      <c r="D23" t="s" s="226">
        <v>3</v>
      </c>
      <c r="E23" t="s" s="226">
        <v>4</v>
      </c>
      <c r="F23" t="s" s="227">
        <v>5</v>
      </c>
      <c r="G23" s="222"/>
      <c r="H23" t="s" s="228">
        <v>6</v>
      </c>
      <c r="I23" s="222"/>
      <c r="J23" t="s" s="228">
        <v>7</v>
      </c>
      <c r="K23" t="s" s="225">
        <v>8</v>
      </c>
      <c r="L23" t="s" s="225">
        <v>119</v>
      </c>
      <c r="M23" t="s" s="229">
        <v>120</v>
      </c>
      <c r="N23" t="s" s="218">
        <v>121</v>
      </c>
      <c r="O23" t="s" s="218">
        <v>122</v>
      </c>
    </row>
    <row r="24" ht="15" customHeight="1">
      <c r="A24" s="230">
        <f>IF(SUM(L$24:L$27)=4,1,IF(COUNTIF(L$24:L24,L24)&gt;1,L24+M24+N24+O24,L24))</f>
        <v>1</v>
      </c>
      <c r="B24" t="s" s="225">
        <v>41</v>
      </c>
      <c r="C24" s="233">
        <f>COUNT('Tabelle'!AD31,'Tabelle'!AD33,'Tabelle'!AF35)</f>
        <v>3</v>
      </c>
      <c r="D24" s="233">
        <f>SUM('Ränge2'!B22:D22)</f>
        <v>3</v>
      </c>
      <c r="E24" s="233">
        <f>SUM('Ränge2'!E22:I22)</f>
        <v>0</v>
      </c>
      <c r="F24" t="s" s="226">
        <v>123</v>
      </c>
      <c r="G24" s="233">
        <f>SUM('Tabelle'!AD31,'Tabelle'!AD33,'Tabelle'!AF35)</f>
        <v>7</v>
      </c>
      <c r="H24" t="s" s="228">
        <v>12</v>
      </c>
      <c r="I24" s="233">
        <f>SUM('Tabelle'!AF31,'Tabelle'!AF33,'Tabelle'!AD35)</f>
        <v>2</v>
      </c>
      <c r="J24" s="233">
        <f>G24-I24</f>
        <v>5</v>
      </c>
      <c r="K24" s="234">
        <f>3*D24+E24</f>
        <v>9</v>
      </c>
      <c r="L24" s="234">
        <f>'Ränge2'!AO22</f>
        <v>1</v>
      </c>
      <c r="M24" s="235">
        <f>IF(COUNTIF(L$24:L$27,1)&gt;1,IF(L24=1,COUNTIF($L$24:L24,1)-1,0),0)</f>
        <v>0</v>
      </c>
      <c r="N24" s="236">
        <f>IF(COUNTIF(L$24:L$27,2)&gt;1,IF(L24=2,COUNTIF($L$24:L24,2)-1,0),0)</f>
        <v>0</v>
      </c>
      <c r="O24" s="236">
        <f>IF(COUNTIF(L$24:L$27,3)&gt;1,IF(L24=3,COUNTIF($L$24:L24,3)-1,0),0)</f>
        <v>0</v>
      </c>
    </row>
    <row r="25" ht="15" customHeight="1">
      <c r="A25" s="230">
        <f>IF(SUM(L$24:L$27)=4,2,IF(COUNTIF(L$24:L25,L25)&gt;1,L25+M25+N25+O25,L25))</f>
        <v>4</v>
      </c>
      <c r="B25" t="s" s="225">
        <v>47</v>
      </c>
      <c r="C25" s="233">
        <f>COUNT('Tabelle'!AF31,'Tabelle'!AF34,'Tabelle'!AD36)</f>
        <v>3</v>
      </c>
      <c r="D25" s="233">
        <f>SUM('Ränge2'!B23:D23)</f>
        <v>0</v>
      </c>
      <c r="E25" s="233">
        <f>SUM('Ränge2'!E23:I23)</f>
        <v>0</v>
      </c>
      <c r="F25" t="s" s="226">
        <v>123</v>
      </c>
      <c r="G25" s="233">
        <f>SUM('Tabelle'!AF31,'Tabelle'!AF34,'Tabelle'!AD36)</f>
        <v>2</v>
      </c>
      <c r="H25" t="s" s="228">
        <v>12</v>
      </c>
      <c r="I25" s="233">
        <f>SUM('Tabelle'!AD31,'Tabelle'!AD34,'Tabelle'!AF36)</f>
        <v>7</v>
      </c>
      <c r="J25" s="233">
        <f>G25-I25</f>
        <v>-5</v>
      </c>
      <c r="K25" s="234">
        <f>3*D25+E25</f>
        <v>0</v>
      </c>
      <c r="L25" s="234">
        <f>'Ränge2'!AO23</f>
        <v>4</v>
      </c>
      <c r="M25" s="235">
        <f>IF(COUNTIF(L$24:L$27,1)&gt;1,IF(L25=1,COUNTIF($L$24:L25,1)-1,0),0)</f>
        <v>0</v>
      </c>
      <c r="N25" s="236">
        <f>IF(COUNTIF(L$24:L$27,2)&gt;1,IF(L25=2,COUNTIF($L$24:L25,2)-1,0),0)</f>
        <v>0</v>
      </c>
      <c r="O25" s="236">
        <f>IF(COUNTIF(L$24:L$27,3)&gt;1,IF(L25=3,COUNTIF($L$24:L25,3)-1,0),0)</f>
        <v>0</v>
      </c>
    </row>
    <row r="26" ht="15" customHeight="1">
      <c r="A26" s="230">
        <f>IF(SUM(L$24:L$27)=4,3,IF(COUNTIF(L$24:L26,L26)&gt;1,L26+M26+N26+O26,L26))</f>
        <v>2</v>
      </c>
      <c r="B26" t="s" s="225">
        <v>43</v>
      </c>
      <c r="C26" s="233">
        <f>COUNT('Tabelle'!AD32,'Tabelle'!AF33,'Tabelle'!AF36)</f>
        <v>3</v>
      </c>
      <c r="D26" s="233">
        <f>SUM('Ränge2'!B24:D24)</f>
        <v>1</v>
      </c>
      <c r="E26" s="233">
        <f>SUM('Ränge2'!E24:I24)</f>
        <v>1</v>
      </c>
      <c r="F26" t="s" s="226">
        <v>123</v>
      </c>
      <c r="G26" s="233">
        <f>SUM('Tabelle'!AD32,'Tabelle'!AF33,'Tabelle'!AF36)</f>
        <v>5</v>
      </c>
      <c r="H26" t="s" s="228">
        <v>12</v>
      </c>
      <c r="I26" s="233">
        <f>SUM('Tabelle'!AF32,'Tabelle'!AD33,'Tabelle'!AD36)</f>
        <v>5</v>
      </c>
      <c r="J26" s="233">
        <f>G26-I26</f>
        <v>0</v>
      </c>
      <c r="K26" s="234">
        <f>3*D26+E26</f>
        <v>4</v>
      </c>
      <c r="L26" s="234">
        <f>'Ränge2'!AO24</f>
        <v>2</v>
      </c>
      <c r="M26" s="235">
        <f>IF(COUNTIF(L$24:L$27,1)&gt;1,IF(L26=1,COUNTIF($L$24:L26,1)-1,0),0)</f>
        <v>0</v>
      </c>
      <c r="N26" s="236">
        <f>IF(COUNTIF(L$24:L$27,2)&gt;1,IF(L26=2,COUNTIF($L$24:L26,2)-1,0),0)</f>
        <v>0</v>
      </c>
      <c r="O26" s="236">
        <f>IF(COUNTIF(L$24:L$27,3)&gt;1,IF(L26=3,COUNTIF($L$24:L26,3)-1,0),0)</f>
        <v>0</v>
      </c>
    </row>
    <row r="27" ht="15" customHeight="1">
      <c r="A27" s="230">
        <f>IF(SUM(L$24:L$27)=4,4,IF(COUNTIF(L$24:L27,L27)&gt;1,L27+M27+N27+O27,L27))</f>
        <v>3</v>
      </c>
      <c r="B27" t="s" s="225">
        <v>45</v>
      </c>
      <c r="C27" s="233">
        <f>COUNT('Tabelle'!AF32,'Tabelle'!AD34,'Tabelle'!AD35)</f>
        <v>3</v>
      </c>
      <c r="D27" s="233">
        <f>SUM('Ränge2'!B25:D25)</f>
        <v>1</v>
      </c>
      <c r="E27" s="233">
        <f>SUM('Ränge2'!E25:I25)</f>
        <v>1</v>
      </c>
      <c r="F27" t="s" s="226">
        <v>123</v>
      </c>
      <c r="G27" s="233">
        <f>SUM('Tabelle'!AF32,'Tabelle'!AD34,'Tabelle'!AD35)</f>
        <v>4</v>
      </c>
      <c r="H27" t="s" s="228">
        <v>12</v>
      </c>
      <c r="I27" s="233">
        <f>SUM('Tabelle'!AD32,'Tabelle'!AF34,'Tabelle'!AF35)</f>
        <v>4</v>
      </c>
      <c r="J27" s="233">
        <f>G27-I27</f>
        <v>0</v>
      </c>
      <c r="K27" s="234">
        <f>3*D27+E27</f>
        <v>4</v>
      </c>
      <c r="L27" s="234">
        <f>'Ränge2'!AO25</f>
        <v>3</v>
      </c>
      <c r="M27" s="235">
        <f>IF(COUNTIF(L$24:L$27,1)&gt;1,IF(L27=1,COUNTIF($L$24:L27,1)-1,0),0)</f>
        <v>0</v>
      </c>
      <c r="N27" s="236">
        <f>IF(COUNTIF(L$24:L$27,2)&gt;1,IF(L27=2,COUNTIF($L$24:L27,2)-1,0),0)</f>
        <v>0</v>
      </c>
      <c r="O27" s="236">
        <f>IF(COUNTIF(L$24:L$27,3)&gt;1,IF(L27=3,COUNTIF($L$24:L27,3)-1,0),0)</f>
        <v>0</v>
      </c>
    </row>
    <row r="28" ht="15" customHeight="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3"/>
      <c r="N28" s="219"/>
      <c r="O28" s="219"/>
    </row>
    <row r="29" ht="15" customHeight="1">
      <c r="A29" s="221"/>
      <c r="B29" t="s" s="225">
        <v>127</v>
      </c>
      <c r="C29" t="s" s="226">
        <v>2</v>
      </c>
      <c r="D29" t="s" s="226">
        <v>3</v>
      </c>
      <c r="E29" t="s" s="226">
        <v>4</v>
      </c>
      <c r="F29" t="s" s="227">
        <v>5</v>
      </c>
      <c r="G29" s="222"/>
      <c r="H29" t="s" s="228">
        <v>6</v>
      </c>
      <c r="I29" s="222"/>
      <c r="J29" t="s" s="228">
        <v>7</v>
      </c>
      <c r="K29" t="s" s="225">
        <v>8</v>
      </c>
      <c r="L29" t="s" s="225">
        <v>119</v>
      </c>
      <c r="M29" t="s" s="229">
        <v>120</v>
      </c>
      <c r="N29" t="s" s="218">
        <v>121</v>
      </c>
      <c r="O29" t="s" s="218">
        <v>122</v>
      </c>
    </row>
    <row r="30" ht="15" customHeight="1">
      <c r="A30" s="230">
        <f>IF(SUM(L$30:L$33)=4,1,IF(COUNTIF(L$30:L30,L30)&gt;1,L30+M30+N30+O30,L30))</f>
        <v>1</v>
      </c>
      <c r="B30" t="s" s="225">
        <v>57</v>
      </c>
      <c r="C30" s="233">
        <f>COUNT('Tabelle'!M49,'Tabelle'!M50,'Tabelle'!O52)</f>
        <v>3</v>
      </c>
      <c r="D30" s="233">
        <f>SUM('Ränge2'!B28:D28)</f>
        <v>3</v>
      </c>
      <c r="E30" s="233">
        <f>SUM('Ränge2'!E28:I28)</f>
        <v>0</v>
      </c>
      <c r="F30" t="s" s="226">
        <v>123</v>
      </c>
      <c r="G30" s="233">
        <f>SUM('Tabelle'!M49,'Tabelle'!M50,'Tabelle'!O52)</f>
        <v>7</v>
      </c>
      <c r="H30" t="s" s="228">
        <v>12</v>
      </c>
      <c r="I30" s="233">
        <f>SUM('Tabelle'!O49,'Tabelle'!O50,'Tabelle'!M52)</f>
        <v>1</v>
      </c>
      <c r="J30" s="233">
        <f>G30-I30</f>
        <v>6</v>
      </c>
      <c r="K30" s="234">
        <f>3*D30+E30</f>
        <v>9</v>
      </c>
      <c r="L30" s="234">
        <f>'Ränge2'!AO28</f>
        <v>1</v>
      </c>
      <c r="M30" s="235">
        <f>IF(COUNTIF(L$30:L$33,1)&gt;1,IF(L30=1,COUNTIF($L$30:L30,1)-1,0),0)</f>
        <v>0</v>
      </c>
      <c r="N30" s="236">
        <f>IF(COUNTIF(L$30:L$33,2)&gt;1,IF(L30=2,COUNTIF($L$30:L30,2)-1,0),0)</f>
        <v>0</v>
      </c>
      <c r="O30" s="236">
        <f>IF(COUNTIF(L$30:L$33,3)&gt;1,IF(L30=3,COUNTIF($L$30:L30,3)-1,0),0)</f>
        <v>0</v>
      </c>
    </row>
    <row r="31" ht="15" customHeight="1">
      <c r="A31" s="230">
        <f>IF(SUM(L$30:L$33)=4,2,IF(COUNTIF(L$30:L31,L31)&gt;1,L31+M31+N31+O31,L31))</f>
        <v>3</v>
      </c>
      <c r="B31" t="s" s="225">
        <v>61</v>
      </c>
      <c r="C31" s="233">
        <f>COUNT('Tabelle'!O49,'Tabelle'!O51,'Tabelle'!M53)</f>
        <v>3</v>
      </c>
      <c r="D31" s="233">
        <f>SUM('Ränge2'!B29:D29)</f>
        <v>1</v>
      </c>
      <c r="E31" s="233">
        <f>SUM('Ränge2'!E29:I29)</f>
        <v>0</v>
      </c>
      <c r="F31" t="s" s="226">
        <v>123</v>
      </c>
      <c r="G31" s="233">
        <f>SUM('Tabelle'!O49,'Tabelle'!O51,'Tabelle'!M53)</f>
        <v>3</v>
      </c>
      <c r="H31" t="s" s="228">
        <v>12</v>
      </c>
      <c r="I31" s="233">
        <f>SUM('Tabelle'!M49,'Tabelle'!M51,'Tabelle'!O53)</f>
        <v>4</v>
      </c>
      <c r="J31" s="233">
        <f>G31-I31</f>
        <v>-1</v>
      </c>
      <c r="K31" s="234">
        <f>3*D31+E31</f>
        <v>3</v>
      </c>
      <c r="L31" s="234">
        <f>'Ränge2'!AO29</f>
        <v>3</v>
      </c>
      <c r="M31" s="235">
        <f>IF(COUNTIF(L$30:L$33,1)&gt;1,IF(L31=1,COUNTIF($L$30:L31,1)-1,0),0)</f>
        <v>0</v>
      </c>
      <c r="N31" s="236">
        <f>IF(COUNTIF(L$30:L$33,2)&gt;1,IF(L31=2,COUNTIF($L$30:L31,2)-1,0),0)</f>
        <v>0</v>
      </c>
      <c r="O31" s="236">
        <f>IF(COUNTIF(L$30:L$33,3)&gt;1,IF(L31=3,COUNTIF($L$30:L31,3)-1,0),0)</f>
        <v>0</v>
      </c>
    </row>
    <row r="32" ht="15" customHeight="1">
      <c r="A32" s="230">
        <f>IF(SUM(L$30:L$33)=4,3,IF(COUNTIF(L$30:L32,L32)&gt;1,L32+M32+N32+O32,L32))</f>
        <v>4</v>
      </c>
      <c r="B32" t="s" s="225">
        <v>63</v>
      </c>
      <c r="C32" s="233">
        <f>COUNT('Tabelle'!M48,'Tabelle'!O50,'Tabelle'!O53)</f>
        <v>3</v>
      </c>
      <c r="D32" s="233">
        <f>SUM('Ränge2'!B30:D30)</f>
        <v>0</v>
      </c>
      <c r="E32" s="233">
        <f>SUM('Ränge2'!E30:I30)</f>
        <v>0</v>
      </c>
      <c r="F32" t="s" s="226">
        <v>123</v>
      </c>
      <c r="G32" s="233">
        <f>SUM('Tabelle'!M48,'Tabelle'!O50,'Tabelle'!O53)</f>
        <v>0</v>
      </c>
      <c r="H32" t="s" s="228">
        <v>12</v>
      </c>
      <c r="I32" s="233">
        <f>SUM('Tabelle'!O48,'Tabelle'!M50,'Tabelle'!M53)</f>
        <v>5</v>
      </c>
      <c r="J32" s="233">
        <f>G32-I32</f>
        <v>-5</v>
      </c>
      <c r="K32" s="234">
        <f>3*D32+E32</f>
        <v>0</v>
      </c>
      <c r="L32" s="234">
        <f>'Ränge2'!AO30</f>
        <v>4</v>
      </c>
      <c r="M32" s="235">
        <f>IF(COUNTIF(L$30:L$33,1)&gt;1,IF(L32=1,COUNTIF($L$30:L32,1)-1,0),0)</f>
        <v>0</v>
      </c>
      <c r="N32" s="236">
        <f>IF(COUNTIF(L$30:L$33,2)&gt;1,IF(L32=2,COUNTIF($L$30:L32,2)-1,0),0)</f>
        <v>0</v>
      </c>
      <c r="O32" s="236">
        <f>IF(COUNTIF(L$30:L$33,3)&gt;1,IF(L32=3,COUNTIF($L$30:L32,3)-1,0),0)</f>
        <v>0</v>
      </c>
    </row>
    <row r="33" ht="15" customHeight="1">
      <c r="A33" s="230">
        <f>IF(SUM(L$30:L$33)=4,4,IF(COUNTIF(L$30:L33,L33)&gt;1,L33+M33+N33+O33,L33))</f>
        <v>2</v>
      </c>
      <c r="B33" t="s" s="225">
        <v>59</v>
      </c>
      <c r="C33" s="233">
        <f>COUNT('Tabelle'!O48,'Tabelle'!M51,'Tabelle'!M52)</f>
        <v>3</v>
      </c>
      <c r="D33" s="233">
        <f>SUM('Ränge2'!B31:D31)</f>
        <v>2</v>
      </c>
      <c r="E33" s="233">
        <f>SUM('Ränge2'!E31:I31)</f>
        <v>0</v>
      </c>
      <c r="F33" t="s" s="226">
        <v>123</v>
      </c>
      <c r="G33" s="233">
        <f>SUM('Tabelle'!O48,'Tabelle'!M51,'Tabelle'!M52)</f>
        <v>4</v>
      </c>
      <c r="H33" t="s" s="228">
        <v>12</v>
      </c>
      <c r="I33" s="233">
        <f>SUM('Tabelle'!M48,'Tabelle'!O51,'Tabelle'!O52)</f>
        <v>4</v>
      </c>
      <c r="J33" s="233">
        <f>G33-I33</f>
        <v>0</v>
      </c>
      <c r="K33" s="234">
        <f>3*D33+E33</f>
        <v>6</v>
      </c>
      <c r="L33" s="234">
        <f>'Ränge2'!AO31</f>
        <v>2</v>
      </c>
      <c r="M33" s="235">
        <f>IF(COUNTIF(L$30:L$33,1)&gt;1,IF(L33=1,COUNTIF($L$30:L33,1)-1,0),0)</f>
        <v>0</v>
      </c>
      <c r="N33" s="236">
        <f>IF(COUNTIF(L$30:L$33,2)&gt;1,IF(L33=2,COUNTIF($L$30:L33,2)-1,0),0)</f>
        <v>0</v>
      </c>
      <c r="O33" s="236">
        <f>IF(COUNTIF(L$30:L$33,3)&gt;1,IF(L33=3,COUNTIF($L$30:L33,3)-1,0),0)</f>
        <v>0</v>
      </c>
    </row>
    <row r="34" ht="15" customHeight="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3"/>
      <c r="N34" s="219"/>
      <c r="O34" s="219"/>
    </row>
    <row r="35" ht="15" customHeight="1">
      <c r="A35" s="221"/>
      <c r="B35" t="s" s="225">
        <v>128</v>
      </c>
      <c r="C35" t="s" s="226">
        <v>2</v>
      </c>
      <c r="D35" t="s" s="226">
        <v>3</v>
      </c>
      <c r="E35" t="s" s="226">
        <v>4</v>
      </c>
      <c r="F35" t="s" s="227">
        <v>5</v>
      </c>
      <c r="G35" s="222"/>
      <c r="H35" t="s" s="228">
        <v>6</v>
      </c>
      <c r="I35" s="222"/>
      <c r="J35" t="s" s="228">
        <v>7</v>
      </c>
      <c r="K35" t="s" s="225">
        <v>8</v>
      </c>
      <c r="L35" t="s" s="225">
        <v>119</v>
      </c>
      <c r="M35" t="s" s="229">
        <v>120</v>
      </c>
      <c r="N35" t="s" s="218">
        <v>121</v>
      </c>
      <c r="O35" t="s" s="218">
        <v>122</v>
      </c>
    </row>
    <row r="36" ht="15" customHeight="1">
      <c r="A36" s="230">
        <f>IF(SUM(L$36:L$39)=4,1,IF(COUNTIF(L$36:L36,L36)&gt;1,L36+M36+N36+O36,L36))</f>
        <v>1</v>
      </c>
      <c r="B36" t="s" s="225">
        <v>58</v>
      </c>
      <c r="C36" s="233">
        <f>COUNT('Tabelle'!AD48,'Tabelle'!AD51,'Tabelle'!AF52)</f>
        <v>3</v>
      </c>
      <c r="D36" s="233">
        <f>SUM('Ränge2'!B34:D34)</f>
        <v>3</v>
      </c>
      <c r="E36" s="233">
        <f>SUM('Ränge2'!E34:I34)</f>
        <v>0</v>
      </c>
      <c r="F36" t="s" s="226">
        <v>123</v>
      </c>
      <c r="G36" s="233">
        <f>SUM('Tabelle'!AD48,'Tabelle'!AD51,'Tabelle'!AF52)</f>
        <v>8</v>
      </c>
      <c r="H36" t="s" s="228">
        <v>12</v>
      </c>
      <c r="I36" s="233">
        <f>SUM('Tabelle'!AF48,'Tabelle'!AF51,'Tabelle'!AD52)</f>
        <v>2</v>
      </c>
      <c r="J36" s="233">
        <f>G36-I36</f>
        <v>6</v>
      </c>
      <c r="K36" s="234">
        <f>3*D36+E36</f>
        <v>9</v>
      </c>
      <c r="L36" s="234">
        <f>'Ränge2'!AO34</f>
        <v>1</v>
      </c>
      <c r="M36" s="235">
        <f>IF(COUNTIF(L$36:L$39,1)&gt;1,IF(L36=1,COUNTIF($L$36:L36,1)-1,0),0)</f>
        <v>0</v>
      </c>
      <c r="N36" s="236">
        <f>IF(COUNTIF(L$36:L$39,2)&gt;1,IF(L36=2,COUNTIF($L$36:L36,2)-1,0),0)</f>
        <v>0</v>
      </c>
      <c r="O36" s="236">
        <f>IF(COUNTIF(L$36:L$39,3)&gt;1,IF(L36=3,COUNTIF($L$36:L36,3)-1,0),0)</f>
        <v>0</v>
      </c>
    </row>
    <row r="37" ht="15" customHeight="1">
      <c r="A37" s="230">
        <f>IF(SUM(L$36:L$39)=4,2,IF(COUNTIF(L$36:L37,L37)&gt;1,L37+M37+N37+O37,L37))</f>
        <v>4</v>
      </c>
      <c r="B37" t="s" s="225">
        <v>64</v>
      </c>
      <c r="C37" s="233">
        <f>COUNT('Tabelle'!AF48,'Tabelle'!AF50,'Tabelle'!AD53)</f>
        <v>3</v>
      </c>
      <c r="D37" s="233">
        <f>SUM('Ränge2'!B35:D35)</f>
        <v>0</v>
      </c>
      <c r="E37" s="233">
        <f>SUM('Ränge2'!E35:I35)</f>
        <v>1</v>
      </c>
      <c r="F37" t="s" s="226">
        <v>123</v>
      </c>
      <c r="G37" s="233">
        <f>SUM('Tabelle'!AF48,'Tabelle'!AF50,'Tabelle'!AD53)</f>
        <v>3</v>
      </c>
      <c r="H37" t="s" s="228">
        <v>12</v>
      </c>
      <c r="I37" s="233">
        <f>SUM('Tabelle'!AD48,'Tabelle'!AD50,'Tabelle'!AF53)</f>
        <v>7</v>
      </c>
      <c r="J37" s="233">
        <f>G37-I37</f>
        <v>-4</v>
      </c>
      <c r="K37" s="234">
        <f>3*D37+E37</f>
        <v>1</v>
      </c>
      <c r="L37" s="234">
        <f>'Ränge2'!AO35</f>
        <v>4</v>
      </c>
      <c r="M37" s="235">
        <f>IF(COUNTIF(L$36:L$39,1)&gt;1,IF(L37=1,COUNTIF($L$36:L37,1)-1,0),0)</f>
        <v>0</v>
      </c>
      <c r="N37" s="236">
        <f>IF(COUNTIF(L$36:L$39,2)&gt;1,IF(L37=2,COUNTIF($L$36:L37,2)-1,0),0)</f>
        <v>0</v>
      </c>
      <c r="O37" s="236">
        <f>IF(COUNTIF(L$36:L$39,3)&gt;1,IF(L37=3,COUNTIF($L$36:L37,3)-1,0),0)</f>
        <v>0</v>
      </c>
    </row>
    <row r="38" ht="15" customHeight="1">
      <c r="A38" s="230">
        <f>IF(SUM(L$36:L$39)=4,3,IF(COUNTIF(L$36:L38,L38)&gt;1,L38+M38+N38+O38,L38))</f>
        <v>2</v>
      </c>
      <c r="B38" t="s" s="225">
        <v>60</v>
      </c>
      <c r="C38" s="233">
        <f>COUNT('Tabelle'!AD49,'Tabelle'!AF51,'Tabelle'!AF53)</f>
        <v>3</v>
      </c>
      <c r="D38" s="233">
        <f>SUM('Ränge2'!B36:D36)</f>
        <v>2</v>
      </c>
      <c r="E38" s="233">
        <f>SUM('Ränge2'!E36:I36)</f>
        <v>0</v>
      </c>
      <c r="F38" t="s" s="226">
        <v>123</v>
      </c>
      <c r="G38" s="233">
        <f>SUM('Tabelle'!AD49,'Tabelle'!AF51,'Tabelle'!AF53)</f>
        <v>6</v>
      </c>
      <c r="H38" t="s" s="228">
        <v>12</v>
      </c>
      <c r="I38" s="233">
        <f>SUM('Tabelle'!AF49,'Tabelle'!AD51,'Tabelle'!AD53)</f>
        <v>5</v>
      </c>
      <c r="J38" s="233">
        <f>G38-I38</f>
        <v>1</v>
      </c>
      <c r="K38" s="234">
        <f>3*D38+E38</f>
        <v>6</v>
      </c>
      <c r="L38" s="234">
        <f>'Ränge2'!AO36</f>
        <v>2</v>
      </c>
      <c r="M38" s="235">
        <f>IF(COUNTIF(L$36:L$39,1)&gt;1,IF(L38=1,COUNTIF($L$36:L38,1)-1,0),0)</f>
        <v>0</v>
      </c>
      <c r="N38" s="236">
        <f>IF(COUNTIF(L$36:L$39,2)&gt;1,IF(L38=2,COUNTIF($L$36:L38,2)-1,0),0)</f>
        <v>0</v>
      </c>
      <c r="O38" s="236">
        <f>IF(COUNTIF(L$36:L$39,3)&gt;1,IF(L38=3,COUNTIF($L$36:L38,3)-1,0),0)</f>
        <v>0</v>
      </c>
    </row>
    <row r="39" ht="15" customHeight="1">
      <c r="A39" s="230">
        <f>IF(SUM(L$36:L$39)=4,4,IF(COUNTIF(L$36:L39,L39)&gt;1,L39+M39+N39+O39,L39))</f>
        <v>3</v>
      </c>
      <c r="B39" t="s" s="225">
        <v>62</v>
      </c>
      <c r="C39" s="233">
        <f>COUNT('Tabelle'!AF49,'Tabelle'!AD50,'Tabelle'!AD52)</f>
        <v>3</v>
      </c>
      <c r="D39" s="233">
        <f>SUM('Ränge2'!B37:D37)</f>
        <v>0</v>
      </c>
      <c r="E39" s="233">
        <f>SUM('Ränge2'!E37:I37)</f>
        <v>1</v>
      </c>
      <c r="F39" t="s" s="226">
        <v>123</v>
      </c>
      <c r="G39" s="233">
        <f>SUM('Tabelle'!AF49,'Tabelle'!AD50,'Tabelle'!AD52)</f>
        <v>4</v>
      </c>
      <c r="H39" t="s" s="228">
        <v>12</v>
      </c>
      <c r="I39" s="233">
        <f>SUM('Tabelle'!AD49,'Tabelle'!AF50,'Tabelle'!AF52)</f>
        <v>7</v>
      </c>
      <c r="J39" s="233">
        <f>G39-I39</f>
        <v>-3</v>
      </c>
      <c r="K39" s="234">
        <f>3*D39+E39</f>
        <v>1</v>
      </c>
      <c r="L39" s="234">
        <f>'Ränge2'!AO37</f>
        <v>3</v>
      </c>
      <c r="M39" s="235">
        <f>IF(COUNTIF(L$36:L$39,1)&gt;1,IF(L39=1,COUNTIF($L$36:L39,1)-1,0),0)</f>
        <v>0</v>
      </c>
      <c r="N39" s="236">
        <f>IF(COUNTIF(L$36:L$39,2)&gt;1,IF(L39=2,COUNTIF($L$36:L39,2)-1,0),0)</f>
        <v>0</v>
      </c>
      <c r="O39" s="236">
        <f>IF(COUNTIF(L$36:L$39,3)&gt;1,IF(L39=3,COUNTIF($L$36:L39,3)-1,0),0)</f>
        <v>0</v>
      </c>
    </row>
    <row r="40" ht="1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3"/>
      <c r="N40" s="219"/>
      <c r="O40" s="219"/>
    </row>
    <row r="41" ht="15" customHeight="1">
      <c r="A41" s="221"/>
      <c r="B41" t="s" s="225">
        <v>129</v>
      </c>
      <c r="C41" t="s" s="226">
        <v>2</v>
      </c>
      <c r="D41" t="s" s="226">
        <v>3</v>
      </c>
      <c r="E41" t="s" s="226">
        <v>4</v>
      </c>
      <c r="F41" t="s" s="227">
        <v>5</v>
      </c>
      <c r="G41" s="222"/>
      <c r="H41" t="s" s="228">
        <v>6</v>
      </c>
      <c r="I41" s="222"/>
      <c r="J41" t="s" s="228">
        <v>7</v>
      </c>
      <c r="K41" t="s" s="225">
        <v>8</v>
      </c>
      <c r="L41" t="s" s="225">
        <v>119</v>
      </c>
      <c r="M41" t="s" s="229">
        <v>120</v>
      </c>
      <c r="N41" t="s" s="218">
        <v>121</v>
      </c>
      <c r="O41" t="s" s="218">
        <v>122</v>
      </c>
    </row>
    <row r="42" ht="15" customHeight="1">
      <c r="A42" s="230">
        <f>IF(SUM(L$42:L$45)=4,1,IF(COUNTIF(L$42:L42,L42)&gt;1,L42+M42+N42+O42,L42))</f>
        <v>2</v>
      </c>
      <c r="B42" t="s" s="225">
        <v>75</v>
      </c>
      <c r="C42" s="233">
        <f>COUNT('Tabelle'!M65,'Tabelle'!M67,'Tabelle'!O69)</f>
        <v>3</v>
      </c>
      <c r="D42" s="233">
        <f>SUM('Ränge2'!B40:D40)</f>
        <v>2</v>
      </c>
      <c r="E42" s="233">
        <f>SUM('Ränge2'!E40:I40)</f>
        <v>0</v>
      </c>
      <c r="F42" t="s" s="226">
        <v>123</v>
      </c>
      <c r="G42" s="233">
        <f>SUM('Tabelle'!M65,'Tabelle'!M67,'Tabelle'!O69)</f>
        <v>6</v>
      </c>
      <c r="H42" t="s" s="228">
        <v>12</v>
      </c>
      <c r="I42" s="233">
        <f>SUM('Tabelle'!O65,'Tabelle'!O67,'Tabelle'!M69)</f>
        <v>2</v>
      </c>
      <c r="J42" s="233">
        <f>G42-I42</f>
        <v>4</v>
      </c>
      <c r="K42" s="234">
        <f>3*D42+E42</f>
        <v>6</v>
      </c>
      <c r="L42" s="234">
        <f>'Ränge2'!AO40</f>
        <v>2</v>
      </c>
      <c r="M42" s="235">
        <f>IF(COUNTIF(L$42:L$45,1)&gt;1,IF(L42=1,COUNTIF($L$42:L42,1)-1,0),0)</f>
        <v>0</v>
      </c>
      <c r="N42" s="236">
        <f>IF(COUNTIF(L$42:L$45,2)&gt;1,IF(L42=2,COUNTIF($L$42:L42,2)-1,0),0)</f>
        <v>0</v>
      </c>
      <c r="O42" s="236">
        <f>IF(COUNTIF(L$42:L$45,3)&gt;1,IF(L42=3,COUNTIF($L$42:L42,3)-1,0),0)</f>
        <v>0</v>
      </c>
    </row>
    <row r="43" ht="15" customHeight="1">
      <c r="A43" s="230">
        <f>IF(SUM(L$42:L$45)=4,2,IF(COUNTIF(L$42:L43,L43)&gt;1,L43+M43+N43+O43,L43))</f>
        <v>4</v>
      </c>
      <c r="B43" t="s" s="225">
        <v>79</v>
      </c>
      <c r="C43" s="233">
        <f>COUNT('Tabelle'!O65,'Tabelle'!O68,'Tabelle'!M70)</f>
        <v>3</v>
      </c>
      <c r="D43" s="233">
        <f>SUM('Ränge2'!B41:D41)</f>
        <v>0</v>
      </c>
      <c r="E43" s="233">
        <f>SUM('Ränge2'!E41:I41)</f>
        <v>1</v>
      </c>
      <c r="F43" t="s" s="226">
        <v>123</v>
      </c>
      <c r="G43" s="233">
        <f>SUM('Tabelle'!O65,'Tabelle'!O68,'Tabelle'!M70)</f>
        <v>1</v>
      </c>
      <c r="H43" t="s" s="228">
        <v>12</v>
      </c>
      <c r="I43" s="233">
        <f>SUM('Tabelle'!M65,'Tabelle'!M68,'Tabelle'!O70)</f>
        <v>7</v>
      </c>
      <c r="J43" s="233">
        <f>G43-I43</f>
        <v>-6</v>
      </c>
      <c r="K43" s="234">
        <f>3*D43+E43</f>
        <v>1</v>
      </c>
      <c r="L43" s="234">
        <f>'Ränge2'!AO41</f>
        <v>4</v>
      </c>
      <c r="M43" s="235">
        <f>IF(COUNTIF(L$42:L$45,1)&gt;1,IF(L43=1,COUNTIF($L$42:L43,1)-1,0),0)</f>
        <v>0</v>
      </c>
      <c r="N43" s="236">
        <f>IF(COUNTIF(L$42:L$45,2)&gt;1,IF(L43=2,COUNTIF($L$42:L43,2)-1,0),0)</f>
        <v>0</v>
      </c>
      <c r="O43" s="236">
        <f>IF(COUNTIF(L$42:L$45,3)&gt;1,IF(L43=3,COUNTIF($L$42:L43,3)-1,0),0)</f>
        <v>0</v>
      </c>
    </row>
    <row r="44" ht="15" customHeight="1">
      <c r="A44" s="230">
        <f>IF(SUM(L$42:L$45)=4,3,IF(COUNTIF(L$42:L44,L44)&gt;1,L44+M44+N44+O44,L44))</f>
        <v>3</v>
      </c>
      <c r="B44" t="s" s="225">
        <v>77</v>
      </c>
      <c r="C44" s="233">
        <f>COUNT('Tabelle'!M66,'Tabelle'!O67,'Tabelle'!O70)</f>
        <v>3</v>
      </c>
      <c r="D44" s="233">
        <f>SUM('Ränge2'!B42:D42)</f>
        <v>0</v>
      </c>
      <c r="E44" s="233">
        <f>SUM('Ränge2'!E42:I42)</f>
        <v>1</v>
      </c>
      <c r="F44" t="s" s="226">
        <v>123</v>
      </c>
      <c r="G44" s="233">
        <f>SUM('Tabelle'!M66,'Tabelle'!O67,'Tabelle'!O70)</f>
        <v>1</v>
      </c>
      <c r="H44" t="s" s="228">
        <v>12</v>
      </c>
      <c r="I44" s="233">
        <f>SUM('Tabelle'!O66,'Tabelle'!M67,'Tabelle'!M70)</f>
        <v>5</v>
      </c>
      <c r="J44" s="233">
        <f>G44-I44</f>
        <v>-4</v>
      </c>
      <c r="K44" s="234">
        <f>3*D44+E44</f>
        <v>1</v>
      </c>
      <c r="L44" s="234">
        <f>'Ränge2'!AO42</f>
        <v>3</v>
      </c>
      <c r="M44" s="235">
        <f>IF(COUNTIF(L$42:L$45,1)&gt;1,IF(L44=1,COUNTIF($L$42:L44,1)-1,0),0)</f>
        <v>0</v>
      </c>
      <c r="N44" s="236">
        <f>IF(COUNTIF(L$42:L$45,2)&gt;1,IF(L44=2,COUNTIF($L$42:L44,2)-1,0),0)</f>
        <v>0</v>
      </c>
      <c r="O44" s="236">
        <f>IF(COUNTIF(L$42:L$45,3)&gt;1,IF(L44=3,COUNTIF($L$42:L44,3)-1,0),0)</f>
        <v>0</v>
      </c>
    </row>
    <row r="45" ht="15" customHeight="1">
      <c r="A45" s="230">
        <f>IF(SUM(L$42:L$45)=4,4,IF(COUNTIF(L$42:L45,L45)&gt;1,L45+M45+N45+O45,L45))</f>
        <v>1</v>
      </c>
      <c r="B45" t="s" s="225">
        <v>73</v>
      </c>
      <c r="C45" s="233">
        <f>COUNT('Tabelle'!O66,'Tabelle'!M68,'Tabelle'!M69)</f>
        <v>3</v>
      </c>
      <c r="D45" s="233">
        <f>SUM('Ränge2'!B43:D43)</f>
        <v>3</v>
      </c>
      <c r="E45" s="233">
        <f>SUM('Ränge2'!E43:I43)</f>
        <v>0</v>
      </c>
      <c r="F45" t="s" s="226">
        <v>123</v>
      </c>
      <c r="G45" s="233">
        <f>SUM('Tabelle'!O66,'Tabelle'!M68,'Tabelle'!M69)</f>
        <v>7</v>
      </c>
      <c r="H45" t="s" s="228">
        <v>12</v>
      </c>
      <c r="I45" s="233">
        <f>SUM('Tabelle'!M66,'Tabelle'!O68,'Tabelle'!O69)</f>
        <v>1</v>
      </c>
      <c r="J45" s="233">
        <f>G45-I45</f>
        <v>6</v>
      </c>
      <c r="K45" s="234">
        <f>3*D45+E45</f>
        <v>9</v>
      </c>
      <c r="L45" s="234">
        <f>'Ränge2'!AO43</f>
        <v>1</v>
      </c>
      <c r="M45" s="235">
        <f>IF(COUNTIF(L$42:L$45,1)&gt;1,IF(L45=1,COUNTIF($L$42:L45,1)-1,0),0)</f>
        <v>0</v>
      </c>
      <c r="N45" s="236">
        <f>IF(COUNTIF(L$42:L$45,2)&gt;1,IF(L45=2,COUNTIF($L$42:L45,2)-1,0),0)</f>
        <v>0</v>
      </c>
      <c r="O45" s="236">
        <f>IF(COUNTIF(L$42:L$45,3)&gt;1,IF(L45=3,COUNTIF($L$42:L45,3)-1,0),0)</f>
        <v>0</v>
      </c>
    </row>
    <row r="46" ht="15" customHeight="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3"/>
      <c r="N46" s="219"/>
      <c r="O46" s="219"/>
    </row>
    <row r="47" ht="15" customHeight="1">
      <c r="A47" s="221"/>
      <c r="B47" t="s" s="225">
        <v>130</v>
      </c>
      <c r="C47" t="s" s="226">
        <v>2</v>
      </c>
      <c r="D47" t="s" s="226">
        <v>3</v>
      </c>
      <c r="E47" t="s" s="226">
        <v>4</v>
      </c>
      <c r="F47" t="s" s="227">
        <v>5</v>
      </c>
      <c r="G47" s="222"/>
      <c r="H47" t="s" s="228">
        <v>6</v>
      </c>
      <c r="I47" s="222"/>
      <c r="J47" t="s" s="228">
        <v>7</v>
      </c>
      <c r="K47" t="s" s="225">
        <v>8</v>
      </c>
      <c r="L47" t="s" s="225">
        <v>119</v>
      </c>
      <c r="M47" t="s" s="229">
        <v>120</v>
      </c>
      <c r="N47" t="s" s="218">
        <v>121</v>
      </c>
      <c r="O47" t="s" s="218">
        <v>122</v>
      </c>
    </row>
    <row r="48" ht="15" customHeight="1">
      <c r="A48" s="230">
        <f>IF(SUM(L$48:L$51)=4,1,IF(COUNTIF(L$48:L48,L48)&gt;1,L48+M48+N48+O48,L48))</f>
        <v>1</v>
      </c>
      <c r="B48" t="s" s="225">
        <v>74</v>
      </c>
      <c r="C48" s="233">
        <f>COUNT('Tabelle'!AD66,'Tabelle'!AD68,'Tabelle'!AF69)</f>
        <v>3</v>
      </c>
      <c r="D48" s="233">
        <f>SUM('Ränge2'!B46:D46)</f>
        <v>2</v>
      </c>
      <c r="E48" s="233">
        <f>SUM('Ränge2'!E46:I46)</f>
        <v>1</v>
      </c>
      <c r="F48" t="s" s="226">
        <v>123</v>
      </c>
      <c r="G48" s="233">
        <f>SUM('Tabelle'!AD66,'Tabelle'!AD68,'Tabelle'!AF69)</f>
        <v>6</v>
      </c>
      <c r="H48" t="s" s="228">
        <v>12</v>
      </c>
      <c r="I48" s="233">
        <f>SUM('Tabelle'!AF66,'Tabelle'!AF68,'Tabelle'!AD69)</f>
        <v>3</v>
      </c>
      <c r="J48" s="233">
        <f>G48-I48</f>
        <v>3</v>
      </c>
      <c r="K48" s="234">
        <f>3*D48+E48</f>
        <v>7</v>
      </c>
      <c r="L48" s="234">
        <f>'Ränge2'!AO46</f>
        <v>1</v>
      </c>
      <c r="M48" s="235">
        <f>IF(COUNTIF(L$48:L$51,1)&gt;1,IF(L48=1,COUNTIF($L$48:L48,1)-1,0),0)</f>
        <v>0</v>
      </c>
      <c r="N48" s="236">
        <f>IF(COUNTIF(L$48:L$51,2)&gt;1,IF(L48=2,COUNTIF($L$48:L48,2)-1,0),0)</f>
        <v>0</v>
      </c>
      <c r="O48" s="236">
        <f>IF(COUNTIF(L$48:L$51,3)&gt;1,IF(L48=3,COUNTIF($L$48:L48,3)-1,0),0)</f>
        <v>0</v>
      </c>
    </row>
    <row r="49" ht="15" customHeight="1">
      <c r="A49" s="230">
        <f>IF(SUM(L$48:L$51)=4,2,IF(COUNTIF(L$48:L49,L49)&gt;1,L49+M49+N49+O49,L49))</f>
        <v>4</v>
      </c>
      <c r="B49" t="s" s="225">
        <v>80</v>
      </c>
      <c r="C49" s="233">
        <f>COUNT('Tabelle'!AF66,'Tabelle'!AF67,'Tabelle'!AD70)</f>
        <v>3</v>
      </c>
      <c r="D49" s="233">
        <f>SUM('Ränge2'!B47:D47)</f>
        <v>0</v>
      </c>
      <c r="E49" s="233">
        <f>SUM('Ränge2'!E47:I47)</f>
        <v>0</v>
      </c>
      <c r="F49" t="s" s="226">
        <v>123</v>
      </c>
      <c r="G49" s="233">
        <f>SUM('Tabelle'!AF66,'Tabelle'!AF67,'Tabelle'!AD70)</f>
        <v>2</v>
      </c>
      <c r="H49" t="s" s="228">
        <v>12</v>
      </c>
      <c r="I49" s="233">
        <f>SUM('Tabelle'!AD66,'Tabelle'!AD67,'Tabelle'!AF70)</f>
        <v>7</v>
      </c>
      <c r="J49" s="233">
        <f>G49-I49</f>
        <v>-5</v>
      </c>
      <c r="K49" s="234">
        <f>3*D49+E49</f>
        <v>0</v>
      </c>
      <c r="L49" s="234">
        <f>'Ränge2'!AO47</f>
        <v>4</v>
      </c>
      <c r="M49" s="235">
        <f>IF(COUNTIF(L$48:L$51,1)&gt;1,IF(L49=1,COUNTIF($L$48:L49,1)-1,0),0)</f>
        <v>0</v>
      </c>
      <c r="N49" s="236">
        <f>IF(COUNTIF(L$48:L$51,2)&gt;1,IF(L49=2,COUNTIF($L$48:L49,2)-1,0),0)</f>
        <v>0</v>
      </c>
      <c r="O49" s="236">
        <f>IF(COUNTIF(L$48:L$51,3)&gt;1,IF(L49=3,COUNTIF($L$48:L49,3)-1,0),0)</f>
        <v>0</v>
      </c>
    </row>
    <row r="50" ht="15" customHeight="1">
      <c r="A50" s="230">
        <f>IF(SUM(L$48:L$51)=4,3,IF(COUNTIF(L$48:L50,L50)&gt;1,L50+M50+N50+O50,L50))</f>
        <v>3</v>
      </c>
      <c r="B50" t="s" s="225">
        <v>78</v>
      </c>
      <c r="C50" s="233">
        <f>COUNT('Tabelle'!AD65,'Tabelle'!AF68,'Tabelle'!AF70)</f>
        <v>3</v>
      </c>
      <c r="D50" s="233">
        <f>SUM('Ränge2'!B48:D48)</f>
        <v>1</v>
      </c>
      <c r="E50" s="233">
        <f>SUM('Ränge2'!E48:I48)</f>
        <v>1</v>
      </c>
      <c r="F50" t="s" s="226">
        <v>123</v>
      </c>
      <c r="G50" s="233">
        <f>SUM('Tabelle'!AD65,'Tabelle'!AF68,'Tabelle'!AF70)</f>
        <v>5</v>
      </c>
      <c r="H50" t="s" s="228">
        <v>12</v>
      </c>
      <c r="I50" s="233">
        <f>SUM('Tabelle'!AF65,'Tabelle'!AD68,'Tabelle'!AD70)</f>
        <v>5</v>
      </c>
      <c r="J50" s="233">
        <f>G50-I50</f>
        <v>0</v>
      </c>
      <c r="K50" s="234">
        <f>3*D50+E50</f>
        <v>4</v>
      </c>
      <c r="L50" s="234">
        <f>'Ränge2'!AO48</f>
        <v>3</v>
      </c>
      <c r="M50" s="235">
        <f>IF(COUNTIF(L$48:L$51,1)&gt;1,IF(L50=1,COUNTIF($L$48:L50,1)-1,0),0)</f>
        <v>0</v>
      </c>
      <c r="N50" s="236">
        <f>IF(COUNTIF(L$48:L$51,2)&gt;1,IF(L50=2,COUNTIF($L$48:L50,2)-1,0),0)</f>
        <v>0</v>
      </c>
      <c r="O50" s="236">
        <f>IF(COUNTIF(L$48:L$51,3)&gt;1,IF(L50=3,COUNTIF($L$48:L50,3)-1,0),0)</f>
        <v>0</v>
      </c>
    </row>
    <row r="51" ht="15" customHeight="1">
      <c r="A51" s="230">
        <f>IF(SUM(L$48:L$51)=4,4,IF(COUNTIF(L$48:L51,L51)&gt;1,L51+M51+N51+O51,L51))</f>
        <v>2</v>
      </c>
      <c r="B51" t="s" s="225">
        <v>76</v>
      </c>
      <c r="C51" s="233">
        <f>COUNT('Tabelle'!AF65,'Tabelle'!AD67,'Tabelle'!AD69)</f>
        <v>3</v>
      </c>
      <c r="D51" s="233">
        <f>SUM('Ränge2'!B49:D49)</f>
        <v>1</v>
      </c>
      <c r="E51" s="233">
        <f>SUM('Ränge2'!E49:I49)</f>
        <v>2</v>
      </c>
      <c r="F51" t="s" s="226">
        <v>123</v>
      </c>
      <c r="G51" s="233">
        <f>SUM('Tabelle'!AF65,'Tabelle'!AD67,'Tabelle'!AD69)</f>
        <v>5</v>
      </c>
      <c r="H51" t="s" s="228">
        <v>12</v>
      </c>
      <c r="I51" s="233">
        <f>SUM('Tabelle'!AD65,'Tabelle'!AF67,'Tabelle'!AF69)</f>
        <v>3</v>
      </c>
      <c r="J51" s="233">
        <f>G51-I51</f>
        <v>2</v>
      </c>
      <c r="K51" s="234">
        <f>3*D51+E51</f>
        <v>5</v>
      </c>
      <c r="L51" s="234">
        <f>'Ränge2'!AO49</f>
        <v>2</v>
      </c>
      <c r="M51" s="235">
        <f>IF(COUNTIF(L$48:L$51,1)&gt;1,IF(L51=1,COUNTIF($L$48:L51,1)-1,0),0)</f>
        <v>0</v>
      </c>
      <c r="N51" s="236">
        <f>IF(COUNTIF(L$48:L$51,2)&gt;1,IF(L51=2,COUNTIF($L$48:L51,2)-1,0),0)</f>
        <v>0</v>
      </c>
      <c r="O51" s="236">
        <f>IF(COUNTIF(L$48:L$51,3)&gt;1,IF(L51=3,COUNTIF($L$48:L51,3)-1,0),0)</f>
        <v>0</v>
      </c>
    </row>
    <row r="52" ht="15" customHeight="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3"/>
      <c r="N52" s="219"/>
      <c r="O52" s="219"/>
    </row>
    <row r="53" ht="15" customHeight="1">
      <c r="A53" s="221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3"/>
      <c r="N53" s="219"/>
      <c r="O53" s="219"/>
    </row>
    <row r="54" ht="15" customHeight="1">
      <c r="A54" s="221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3"/>
      <c r="N54" s="219"/>
      <c r="O54" s="219"/>
    </row>
    <row r="55" ht="15" customHeigh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3"/>
      <c r="N55" s="219"/>
      <c r="O55" s="219"/>
    </row>
    <row r="56" ht="15" customHeight="1">
      <c r="A56" s="221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3"/>
      <c r="N56" s="219"/>
      <c r="O56" s="219"/>
    </row>
    <row r="57" ht="15" customHeight="1">
      <c r="A57" s="221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3"/>
      <c r="N57" s="219"/>
      <c r="O57" s="219"/>
    </row>
    <row r="58" ht="15" customHeight="1">
      <c r="A58" s="221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3"/>
      <c r="N58" s="219"/>
      <c r="O58" s="219"/>
    </row>
    <row r="59" ht="15" customHeight="1">
      <c r="A59" s="221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3"/>
      <c r="N59" s="219"/>
      <c r="O59" s="219"/>
    </row>
    <row r="60" ht="15" customHeight="1">
      <c r="A60" s="221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3"/>
      <c r="N60" s="219"/>
      <c r="O60" s="219"/>
    </row>
    <row r="61" ht="15" customHeight="1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3"/>
      <c r="N61" s="219"/>
      <c r="O61" s="219"/>
    </row>
    <row r="62" ht="15" customHeight="1">
      <c r="A62" s="221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3"/>
      <c r="N62" s="219"/>
      <c r="O62" s="219"/>
    </row>
    <row r="63" ht="15" customHeight="1">
      <c r="A63" s="221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3"/>
      <c r="N63" s="219"/>
      <c r="O63" s="219"/>
    </row>
    <row r="64" ht="15" customHeight="1">
      <c r="A64" s="221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3"/>
      <c r="N64" s="219"/>
      <c r="O64" s="219"/>
    </row>
    <row r="65" ht="15" customHeight="1">
      <c r="A65" s="221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3"/>
      <c r="N65" s="219"/>
      <c r="O65" s="219"/>
    </row>
    <row r="66" ht="15" customHeight="1">
      <c r="A66" s="221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3"/>
      <c r="N66" s="219"/>
      <c r="O66" s="219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V65"/>
  <sheetViews>
    <sheetView workbookViewId="0" showGridLines="0" defaultGridColor="1"/>
  </sheetViews>
  <sheetFormatPr defaultColWidth="11.5" defaultRowHeight="15" customHeight="1" outlineLevelRow="0" outlineLevelCol="0"/>
  <cols>
    <col min="1" max="1" width="11.5" style="237" customWidth="1"/>
    <col min="2" max="2" width="11.5" style="237" customWidth="1"/>
    <col min="3" max="3" width="11.5" style="237" customWidth="1"/>
    <col min="4" max="4" width="8.67188" style="237" customWidth="1"/>
    <col min="5" max="5" width="6.67188" style="237" customWidth="1"/>
    <col min="6" max="6" width="9" style="237" customWidth="1"/>
    <col min="7" max="7" width="5.17188" style="237" customWidth="1"/>
    <col min="8" max="8" width="6.67188" style="237" customWidth="1"/>
    <col min="9" max="9" width="2.67188" style="237" customWidth="1"/>
    <col min="10" max="10" width="3.67188" style="237" customWidth="1"/>
    <col min="11" max="11" width="11.5" style="237" customWidth="1"/>
    <col min="12" max="12" width="11.5" style="237" customWidth="1"/>
    <col min="13" max="13" width="10.6719" style="237" customWidth="1"/>
    <col min="14" max="14" width="11.5" style="237" customWidth="1"/>
    <col min="15" max="15" width="10.6719" style="237" customWidth="1"/>
    <col min="16" max="16" width="11.5" style="237" customWidth="1"/>
    <col min="17" max="17" width="11.5" style="237" customWidth="1"/>
    <col min="18" max="18" width="11.5" style="237" customWidth="1"/>
    <col min="19" max="19" width="11.5" style="237" customWidth="1"/>
    <col min="20" max="20" width="11.5" style="237" customWidth="1"/>
    <col min="21" max="21" width="11.5" style="237" customWidth="1"/>
    <col min="22" max="22" width="11.5" style="237" customWidth="1"/>
    <col min="23" max="256" width="11.5" style="237" customWidth="1"/>
  </cols>
  <sheetData>
    <row r="1" ht="1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</row>
    <row r="2" ht="15" customHeight="1">
      <c r="A2" s="219"/>
      <c r="B2" t="s" s="218">
        <v>131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3" ht="15" customHeight="1">
      <c r="A3" s="219"/>
      <c r="B3" s="219"/>
      <c r="C3" s="219"/>
      <c r="D3" t="s" s="218">
        <v>132</v>
      </c>
      <c r="E3" t="s" s="218">
        <v>133</v>
      </c>
      <c r="F3" t="s" s="218">
        <v>134</v>
      </c>
      <c r="G3" t="s" s="218">
        <v>135</v>
      </c>
      <c r="H3" t="s" s="218">
        <v>136</v>
      </c>
      <c r="I3" t="s" s="218">
        <v>137</v>
      </c>
      <c r="J3" t="s" s="218">
        <v>138</v>
      </c>
      <c r="K3" t="s" s="218">
        <v>139</v>
      </c>
      <c r="L3" s="219"/>
      <c r="M3" t="s" s="218">
        <v>140</v>
      </c>
      <c r="N3" t="s" s="218">
        <v>141</v>
      </c>
      <c r="O3" t="s" s="218">
        <v>142</v>
      </c>
      <c r="P3" t="s" s="218">
        <v>143</v>
      </c>
      <c r="Q3" t="s" s="218">
        <v>144</v>
      </c>
      <c r="R3" s="219"/>
      <c r="S3" s="219"/>
      <c r="T3" t="s" s="218">
        <v>145</v>
      </c>
      <c r="U3" s="219"/>
      <c r="V3" s="219"/>
    </row>
    <row r="4" ht="15" customHeight="1">
      <c r="A4" s="219"/>
      <c r="B4" t="s" s="218">
        <v>30</v>
      </c>
      <c r="C4" t="s" s="218">
        <v>31</v>
      </c>
      <c r="D4" s="236">
        <f>('Ränge2'!V4='Ränge2'!V5)*1</f>
        <v>0</v>
      </c>
      <c r="E4" s="236">
        <f>(3*'Ränge2'!B4+1*'Ränge2'!E4)-(3*'Ränge2'!B5+1*'Ränge2'!E5)</f>
        <v>3</v>
      </c>
      <c r="F4" s="236">
        <f>('Ränge2'!AB4='Ränge2'!AB5)*1</f>
        <v>0</v>
      </c>
      <c r="G4" s="236">
        <f>'Tabelle'!M14-'Tabelle'!O14</f>
        <v>2</v>
      </c>
      <c r="H4" s="236">
        <f>('Ränge2'!AH4='Ränge2'!AH5)*1</f>
        <v>0</v>
      </c>
      <c r="I4" s="236">
        <f>'Tabelle'!M14</f>
        <v>2</v>
      </c>
      <c r="J4" s="236">
        <f>'Tabelle'!O14</f>
        <v>0</v>
      </c>
      <c r="K4" s="219"/>
      <c r="L4" t="s" s="218">
        <v>30</v>
      </c>
      <c r="M4" s="236">
        <f>'Gruppen'!$J6</f>
        <v>2</v>
      </c>
      <c r="N4" s="236">
        <f>'Gruppen'!$G6</f>
        <v>5</v>
      </c>
      <c r="O4" s="236">
        <f>$D4*$E4+$D6*$E6+$D8*$E8*(-1)</f>
        <v>0</v>
      </c>
      <c r="P4" s="236">
        <f>$F4*$G4+$F6*$G6+$F8*$G8*(-1)</f>
        <v>0</v>
      </c>
      <c r="Q4" s="236">
        <f>$H4*$I4+$H6*$I6+$H8*$J8</f>
        <v>0</v>
      </c>
      <c r="R4" t="s" s="218">
        <v>139</v>
      </c>
      <c r="S4" s="219"/>
      <c r="T4" t="s" s="238">
        <v>146</v>
      </c>
      <c r="U4" s="219"/>
      <c r="V4" s="219"/>
    </row>
    <row r="5" ht="15" customHeight="1">
      <c r="A5" s="219"/>
      <c r="B5" t="s" s="218">
        <v>33</v>
      </c>
      <c r="C5" t="s" s="218">
        <v>34</v>
      </c>
      <c r="D5" s="236">
        <f>('Ränge2'!V6='Ränge2'!V7)*1</f>
        <v>0</v>
      </c>
      <c r="E5" s="236">
        <f>(3*'Ränge2'!B6+'Ränge2'!E6)-(3*'Ränge2'!B7+'Ränge2'!E7)</f>
        <v>-3</v>
      </c>
      <c r="F5" s="236">
        <f>('Ränge2'!AB6='Ränge2'!AB7)*1</f>
        <v>0</v>
      </c>
      <c r="G5" s="236">
        <f>'Tabelle'!M15-'Tabelle'!O15</f>
        <v>-1</v>
      </c>
      <c r="H5" s="236">
        <f>('Ränge2'!AH6='Ränge2'!AH7)*1</f>
        <v>0</v>
      </c>
      <c r="I5" s="236">
        <f>'Tabelle'!M15</f>
        <v>1</v>
      </c>
      <c r="J5" s="236">
        <f>'Tabelle'!O15</f>
        <v>2</v>
      </c>
      <c r="K5" s="219"/>
      <c r="L5" t="s" s="218">
        <v>31</v>
      </c>
      <c r="M5" s="236">
        <f>'Gruppen'!$J7</f>
        <v>-5</v>
      </c>
      <c r="N5" s="236">
        <f>'Gruppen'!$G7</f>
        <v>2</v>
      </c>
      <c r="O5" s="236">
        <f>$D4*$E4*(-1)+$D7*$E7*(-1)+$D9*$E9</f>
        <v>0</v>
      </c>
      <c r="P5" s="236">
        <f>$F4*$G4*(-1)+$F7*$G7*(-1)+$F9*$G9</f>
        <v>0</v>
      </c>
      <c r="Q5" s="236">
        <f>$H4*$J4+$H7*$J7+$H9*$I9</f>
        <v>0</v>
      </c>
      <c r="R5" s="219"/>
      <c r="S5" s="219"/>
      <c r="T5" t="s" s="238">
        <v>147</v>
      </c>
      <c r="U5" s="219"/>
      <c r="V5" s="219"/>
    </row>
    <row r="6" ht="15" customHeight="1">
      <c r="A6" s="219"/>
      <c r="B6" t="s" s="218">
        <v>30</v>
      </c>
      <c r="C6" t="s" s="218">
        <v>33</v>
      </c>
      <c r="D6" s="236">
        <f>('Ränge2'!V4='Ränge2'!V6)*1</f>
        <v>0</v>
      </c>
      <c r="E6" s="236">
        <f>(3*'Ränge2'!C4+'Ränge2'!F4)-(3*'Ränge2'!C6+'Ränge2'!F6)</f>
        <v>0</v>
      </c>
      <c r="F6" s="236">
        <f>('Ränge2'!AB4='Ränge2'!AB6)*1</f>
        <v>0</v>
      </c>
      <c r="G6" s="236">
        <f>'Tabelle'!M16-'Tabelle'!O16</f>
        <v>0</v>
      </c>
      <c r="H6" s="236">
        <f>('Ränge2'!AH4='Ränge2'!AH6)*1</f>
        <v>0</v>
      </c>
      <c r="I6" s="236">
        <f>'Tabelle'!M16</f>
        <v>1</v>
      </c>
      <c r="J6" s="236">
        <f>'Tabelle'!O16</f>
        <v>1</v>
      </c>
      <c r="K6" s="219"/>
      <c r="L6" t="s" s="218">
        <v>33</v>
      </c>
      <c r="M6" s="236">
        <f>'Gruppen'!$J8</f>
        <v>0</v>
      </c>
      <c r="N6" s="236">
        <f>'Gruppen'!$G8</f>
        <v>4</v>
      </c>
      <c r="O6" s="236">
        <f>$D5*$E5+$D6*$E6*-1+$D9*$E9*-1</f>
        <v>0</v>
      </c>
      <c r="P6" s="236">
        <f>$F5*$G5+$F6*$G6*-1+$F9*$G9*-1</f>
        <v>0</v>
      </c>
      <c r="Q6" s="236">
        <f>$H5*$I5+$H6*$J6+$H9*$J9</f>
        <v>0</v>
      </c>
      <c r="R6" s="219"/>
      <c r="S6" s="219"/>
      <c r="T6" t="s" s="238">
        <v>148</v>
      </c>
      <c r="U6" s="219"/>
      <c r="V6" s="219"/>
    </row>
    <row r="7" ht="15" customHeight="1">
      <c r="A7" s="219"/>
      <c r="B7" t="s" s="218">
        <v>34</v>
      </c>
      <c r="C7" t="s" s="218">
        <v>31</v>
      </c>
      <c r="D7" s="236">
        <f>('Ränge2'!V5='Ränge2'!V7)*1</f>
        <v>0</v>
      </c>
      <c r="E7" s="236">
        <f>(3*'Ränge2'!C7+'Ränge2'!F7)-(3*'Ränge2'!C5+'Ränge2'!F5)</f>
        <v>3</v>
      </c>
      <c r="F7" s="236">
        <f>('Ränge2'!AB5='Ränge2'!AB7)*1</f>
        <v>0</v>
      </c>
      <c r="G7" s="236">
        <f>'Tabelle'!M17-'Tabelle'!O17</f>
        <v>2</v>
      </c>
      <c r="H7" s="236">
        <f>('Ränge2'!AH5='Ränge2'!AH7)*1</f>
        <v>0</v>
      </c>
      <c r="I7" s="236">
        <f>'Tabelle'!M17</f>
        <v>3</v>
      </c>
      <c r="J7" s="236">
        <f>'Tabelle'!O17</f>
        <v>1</v>
      </c>
      <c r="K7" s="219"/>
      <c r="L7" t="s" s="218">
        <v>34</v>
      </c>
      <c r="M7" s="236">
        <f>'Gruppen'!$J9</f>
        <v>3</v>
      </c>
      <c r="N7" s="236">
        <f>'Gruppen'!$G9</f>
        <v>7</v>
      </c>
      <c r="O7" s="236">
        <f>$D5*$E5*-1+$D7*$E7+$D8*$E8</f>
        <v>0</v>
      </c>
      <c r="P7" s="236">
        <f>$F5*$G5*-1+$F7*$G7+$F8*$G8</f>
        <v>0</v>
      </c>
      <c r="Q7" s="236">
        <f>$H5*$J5+$H7*$I7+$H8*$I8</f>
        <v>0</v>
      </c>
      <c r="R7" s="219"/>
      <c r="S7" s="219"/>
      <c r="T7" t="s" s="238">
        <v>149</v>
      </c>
      <c r="U7" s="219"/>
      <c r="V7" s="219"/>
    </row>
    <row r="8" ht="15" customHeight="1">
      <c r="A8" s="219"/>
      <c r="B8" t="s" s="218">
        <v>34</v>
      </c>
      <c r="C8" t="s" s="218">
        <v>30</v>
      </c>
      <c r="D8" s="236">
        <f>('Ränge2'!V7='Ränge2'!V4)*1</f>
        <v>0</v>
      </c>
      <c r="E8" s="236">
        <f>(3*'Ränge2'!D7+'Ränge2'!G7)-(3*'Ränge2'!D4+'Ränge2'!G4)</f>
        <v>0</v>
      </c>
      <c r="F8" s="236">
        <f>('Ränge2'!AB7='Ränge2'!AB4)*1</f>
        <v>0</v>
      </c>
      <c r="G8" s="236">
        <f>'Tabelle'!M18-'Tabelle'!O18</f>
        <v>0</v>
      </c>
      <c r="H8" s="236">
        <f>('Ränge2'!AH7='Ränge2'!AH4)*1</f>
        <v>0</v>
      </c>
      <c r="I8" s="236">
        <f>'Tabelle'!M18</f>
        <v>2</v>
      </c>
      <c r="J8" s="236">
        <f>'Tabelle'!O18</f>
        <v>2</v>
      </c>
      <c r="K8" s="219"/>
      <c r="L8" s="219"/>
      <c r="M8" s="219"/>
      <c r="N8" s="219"/>
      <c r="O8" s="219"/>
      <c r="P8" s="219"/>
      <c r="Q8" s="219"/>
      <c r="R8" s="219"/>
      <c r="S8" s="219"/>
      <c r="T8" t="s" s="238">
        <v>150</v>
      </c>
      <c r="U8" s="219"/>
      <c r="V8" s="219"/>
    </row>
    <row r="9" ht="15" customHeight="1">
      <c r="A9" s="219"/>
      <c r="B9" t="s" s="218">
        <v>31</v>
      </c>
      <c r="C9" t="s" s="218">
        <v>33</v>
      </c>
      <c r="D9" s="236">
        <f>('Ränge2'!V5='Ränge2'!V6)*1</f>
        <v>0</v>
      </c>
      <c r="E9" s="236">
        <f>(3*'Ränge2'!D5+'Ränge2'!G5)-(3*'Ränge2'!D6+'Ränge2'!G6)</f>
        <v>-3</v>
      </c>
      <c r="F9" s="236">
        <f>('Ränge2'!AB5='Ränge2'!AB6)*1</f>
        <v>0</v>
      </c>
      <c r="G9" s="236">
        <f>'Tabelle'!M19-'Tabelle'!O19</f>
        <v>-1</v>
      </c>
      <c r="H9" s="236">
        <f>('Ränge2'!AH5='Ränge2'!AH6)*1</f>
        <v>0</v>
      </c>
      <c r="I9" s="236">
        <f>'Tabelle'!M19</f>
        <v>1</v>
      </c>
      <c r="J9" s="236">
        <f>'Tabelle'!O19</f>
        <v>2</v>
      </c>
      <c r="K9" s="219"/>
      <c r="L9" s="219"/>
      <c r="M9" t="s" s="218">
        <v>142</v>
      </c>
      <c r="N9" t="s" s="218">
        <v>143</v>
      </c>
      <c r="O9" t="s" s="218">
        <v>144</v>
      </c>
      <c r="P9" t="s" s="218">
        <v>140</v>
      </c>
      <c r="Q9" t="s" s="218">
        <v>151</v>
      </c>
      <c r="R9" t="s" s="218">
        <v>139</v>
      </c>
      <c r="S9" s="219"/>
      <c r="T9" t="s" s="238">
        <v>152</v>
      </c>
      <c r="U9" s="219"/>
      <c r="V9" s="219"/>
    </row>
    <row r="10" ht="15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t="s" s="218">
        <v>16</v>
      </c>
      <c r="M10" s="236">
        <f>'Gruppen'!$J12</f>
        <v>1</v>
      </c>
      <c r="N10" s="236">
        <f>'Gruppen'!$G12</f>
        <v>5</v>
      </c>
      <c r="O10" s="236">
        <f>$D13*$E13+$D14*$E14+$D16*$E16*(-1)</f>
        <v>0</v>
      </c>
      <c r="P10" s="236">
        <f>$F13*$G13+$F14*$G14+$F16*$G16*(-1)</f>
        <v>0</v>
      </c>
      <c r="Q10" s="236">
        <f>$H13*$I13+$H14*$I14+$H16*$J16</f>
        <v>0</v>
      </c>
      <c r="R10" s="219"/>
      <c r="S10" s="219"/>
      <c r="T10" s="219"/>
      <c r="U10" s="219"/>
      <c r="V10" s="219"/>
    </row>
    <row r="11" ht="15" customHeight="1">
      <c r="A11" s="219"/>
      <c r="B11" s="219"/>
      <c r="C11" s="219"/>
      <c r="D11" t="s" s="218">
        <v>132</v>
      </c>
      <c r="E11" t="s" s="218">
        <v>133</v>
      </c>
      <c r="F11" t="s" s="218">
        <v>134</v>
      </c>
      <c r="G11" t="s" s="218">
        <v>135</v>
      </c>
      <c r="H11" t="s" s="218">
        <v>136</v>
      </c>
      <c r="I11" t="s" s="218">
        <v>137</v>
      </c>
      <c r="J11" t="s" s="218">
        <v>138</v>
      </c>
      <c r="K11" t="s" s="218">
        <v>139</v>
      </c>
      <c r="L11" t="s" s="218">
        <v>13</v>
      </c>
      <c r="M11" s="236">
        <f>'Gruppen'!$J13</f>
        <v>6</v>
      </c>
      <c r="N11" s="236">
        <f>'Gruppen'!$G13</f>
        <v>8</v>
      </c>
      <c r="O11" s="236">
        <f>$D13*$E13*(-1)+$D15*$E15*(-1)+$D17*$E17</f>
        <v>0</v>
      </c>
      <c r="P11" s="236">
        <f>$F13*$G13*(-1)+$F15*$G15*(-1)+$F17*$G17</f>
        <v>0</v>
      </c>
      <c r="Q11" s="236">
        <f>$H13*$J13+$H15*$J15+$H17*$I17</f>
        <v>0</v>
      </c>
      <c r="R11" s="219"/>
      <c r="S11" s="219"/>
      <c r="T11" s="219"/>
      <c r="U11" s="219"/>
      <c r="V11" s="219"/>
    </row>
    <row r="12" ht="15" customHeight="1">
      <c r="A12" s="219"/>
      <c r="B12" t="s" s="218">
        <v>19</v>
      </c>
      <c r="C12" t="s" s="218">
        <v>22</v>
      </c>
      <c r="D12" s="236">
        <f>('Ränge2'!V12='Ränge2'!V13)*1</f>
        <v>0</v>
      </c>
      <c r="E12" s="236">
        <f>(3*'Ränge2'!B12+'Ränge2'!E12)-(3*'Ränge2'!B13+'Ränge2'!E13)</f>
        <v>3</v>
      </c>
      <c r="F12" s="236">
        <f>('Ränge2'!AB12='Ränge2'!AB13)*1</f>
        <v>0</v>
      </c>
      <c r="G12" s="236">
        <f>'Tabelle'!AD14-'Tabelle'!AF14</f>
        <v>1</v>
      </c>
      <c r="H12" s="236">
        <f>('Ränge2'!AH12='Ränge2'!AH13)*1</f>
        <v>0</v>
      </c>
      <c r="I12" s="236">
        <f>'Tabelle'!AD14</f>
        <v>2</v>
      </c>
      <c r="J12" s="236">
        <f>'Tabelle'!AF14</f>
        <v>1</v>
      </c>
      <c r="K12" s="219"/>
      <c r="L12" t="s" s="218">
        <v>19</v>
      </c>
      <c r="M12" s="236">
        <f>'Gruppen'!$J14</f>
        <v>-3</v>
      </c>
      <c r="N12" s="236">
        <f>'Gruppen'!$G14</f>
        <v>3</v>
      </c>
      <c r="O12" s="236">
        <f>$D12*$E12+$D14*$E14*-1+$D17*$E17*-1</f>
        <v>0</v>
      </c>
      <c r="P12" s="236">
        <f>$F12*$G12+$F14*$G14*-1+$F17*$G17*-1</f>
        <v>0</v>
      </c>
      <c r="Q12" s="236">
        <f>$H12*$I12+$H14*$J14+$H17*$J17</f>
        <v>0</v>
      </c>
      <c r="R12" s="219"/>
      <c r="S12" s="219"/>
      <c r="T12" s="219"/>
      <c r="U12" s="219"/>
      <c r="V12" s="219"/>
    </row>
    <row r="13" ht="15" customHeight="1">
      <c r="A13" s="219"/>
      <c r="B13" t="s" s="218">
        <v>16</v>
      </c>
      <c r="C13" t="s" s="218">
        <v>13</v>
      </c>
      <c r="D13" s="236">
        <f>('Ränge2'!V10='Ränge2'!V11)*1</f>
        <v>0</v>
      </c>
      <c r="E13" s="236">
        <f>(3*'Ränge2'!B10+'Ränge2'!E10)-(3*'Ränge2'!B11+'Ränge2'!E11)</f>
        <v>-3</v>
      </c>
      <c r="F13" s="236">
        <f>('Ränge2'!AB10='Ränge2'!AB11)*1</f>
        <v>0</v>
      </c>
      <c r="G13" s="236">
        <f>'Tabelle'!AD15-'Tabelle'!AF15</f>
        <v>-2</v>
      </c>
      <c r="H13" s="236">
        <f>('Ränge2'!AH10='Ränge2'!AH11)*1</f>
        <v>0</v>
      </c>
      <c r="I13" s="236">
        <f>'Tabelle'!AD15</f>
        <v>1</v>
      </c>
      <c r="J13" s="236">
        <f>'Tabelle'!AF15</f>
        <v>3</v>
      </c>
      <c r="K13" s="219"/>
      <c r="L13" t="s" s="218">
        <v>22</v>
      </c>
      <c r="M13" s="236">
        <f>'Gruppen'!$J15</f>
        <v>-4</v>
      </c>
      <c r="N13" s="236">
        <f>'Gruppen'!$G15</f>
        <v>2</v>
      </c>
      <c r="O13" s="236">
        <f>$D12*$E12*-1+$D15*$E15+$D16*$E16</f>
        <v>0</v>
      </c>
      <c r="P13" s="236">
        <f>$F12*$G12*-1+$F15*$G15+$F16*$G16</f>
        <v>0</v>
      </c>
      <c r="Q13" s="236">
        <f>$H12*$J12+$H15*$I15+$H16*$I16</f>
        <v>0</v>
      </c>
      <c r="R13" s="219"/>
      <c r="S13" s="219"/>
      <c r="T13" s="219"/>
      <c r="U13" s="219"/>
      <c r="V13" s="219"/>
    </row>
    <row r="14" ht="15" customHeight="1">
      <c r="A14" s="219"/>
      <c r="B14" t="s" s="218">
        <v>16</v>
      </c>
      <c r="C14" t="s" s="218">
        <v>19</v>
      </c>
      <c r="D14" s="236">
        <f>('Ränge2'!V10='Ränge2'!V12)*1</f>
        <v>0</v>
      </c>
      <c r="E14" s="236">
        <f>(3*'Ränge2'!C10+'Ränge2'!F10)-(3*'Ränge2'!C12+'Ränge2'!F12)</f>
        <v>3</v>
      </c>
      <c r="F14" s="236">
        <f>('Ränge2'!AB10='Ränge2'!AB12)*1</f>
        <v>0</v>
      </c>
      <c r="G14" s="236">
        <f>'Tabelle'!AD16-'Tabelle'!AF16</f>
        <v>2</v>
      </c>
      <c r="H14" s="236">
        <f>('Ränge2'!AH10='Ränge2'!AH12)*1</f>
        <v>0</v>
      </c>
      <c r="I14" s="236">
        <f>'Tabelle'!AD16</f>
        <v>2</v>
      </c>
      <c r="J14" s="236">
        <f>'Tabelle'!AF16</f>
        <v>0</v>
      </c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39"/>
    </row>
    <row r="15" ht="15" customHeight="1">
      <c r="A15" s="219"/>
      <c r="B15" t="s" s="218">
        <v>22</v>
      </c>
      <c r="C15" t="s" s="218">
        <v>13</v>
      </c>
      <c r="D15" s="236">
        <f>('Ränge2'!V11='Ränge2'!V13)*1</f>
        <v>0</v>
      </c>
      <c r="E15" s="236">
        <f>(3*'Ränge2'!C13+'Ränge2'!F13)-(3*'Ränge2'!C11+'Ränge2'!F11)</f>
        <v>-3</v>
      </c>
      <c r="F15" s="236">
        <f>('Ränge2'!AB11='Ränge2'!AB13)*1</f>
        <v>0</v>
      </c>
      <c r="G15" s="236">
        <f>'Tabelle'!AD17-'Tabelle'!AF17</f>
        <v>-2</v>
      </c>
      <c r="H15" s="236">
        <f>('Ränge2'!AH11='Ränge2'!AH13)*1</f>
        <v>0</v>
      </c>
      <c r="I15" s="236">
        <f>'Tabelle'!AD17</f>
        <v>0</v>
      </c>
      <c r="J15" s="236">
        <f>'Tabelle'!AF17</f>
        <v>2</v>
      </c>
      <c r="K15" s="219"/>
      <c r="L15" s="219"/>
      <c r="M15" t="s" s="218">
        <v>142</v>
      </c>
      <c r="N15" t="s" s="218">
        <v>143</v>
      </c>
      <c r="O15" t="s" s="218">
        <v>144</v>
      </c>
      <c r="P15" t="s" s="218">
        <v>140</v>
      </c>
      <c r="Q15" t="s" s="218">
        <v>151</v>
      </c>
      <c r="R15" t="s" s="218">
        <v>139</v>
      </c>
      <c r="S15" s="219"/>
      <c r="T15" s="219"/>
      <c r="U15" s="219"/>
      <c r="V15" s="239"/>
    </row>
    <row r="16" ht="15" customHeight="1">
      <c r="A16" s="219"/>
      <c r="B16" t="s" s="218">
        <v>22</v>
      </c>
      <c r="C16" t="s" s="218">
        <v>16</v>
      </c>
      <c r="D16" s="236">
        <f>('Ränge2'!V13='Ränge2'!V10)*1</f>
        <v>0</v>
      </c>
      <c r="E16" s="236">
        <f>(3*'Ränge2'!D13+'Ränge2'!G13)-(3*'Ränge2'!D10+'Ränge2'!G10)</f>
        <v>-3</v>
      </c>
      <c r="F16" s="236">
        <f>('Ränge2'!AB13='Ränge2'!AB10)*1</f>
        <v>0</v>
      </c>
      <c r="G16" s="236">
        <f>'Tabelle'!AD18-'Tabelle'!AF18</f>
        <v>-1</v>
      </c>
      <c r="H16" s="236">
        <f>('Ränge2'!AH13='Ränge2'!AH10)*1</f>
        <v>0</v>
      </c>
      <c r="I16" s="236">
        <f>'Tabelle'!AD18</f>
        <v>1</v>
      </c>
      <c r="J16" s="236">
        <f>'Tabelle'!AF18</f>
        <v>2</v>
      </c>
      <c r="K16" s="219"/>
      <c r="L16" t="s" s="218">
        <v>40</v>
      </c>
      <c r="M16" s="236">
        <f>'Gruppen'!$J18</f>
        <v>8</v>
      </c>
      <c r="N16" s="236">
        <f>'Gruppen'!$G18</f>
        <v>9</v>
      </c>
      <c r="O16" s="236">
        <f>$D20*$E20+$D23*$E23+$D24*$E24*(-1)</f>
        <v>0</v>
      </c>
      <c r="P16" s="236">
        <f>$F20*$G20+$F23*$G23+$F24*$G24*(-1)</f>
        <v>0</v>
      </c>
      <c r="Q16" s="236">
        <f>$H20*$I20+$H23*$I23+$H24*$J24</f>
        <v>0</v>
      </c>
      <c r="R16" s="219"/>
      <c r="S16" s="219"/>
      <c r="T16" s="219"/>
      <c r="U16" s="219"/>
      <c r="V16" s="239"/>
    </row>
    <row r="17" ht="15" customHeight="1">
      <c r="A17" s="219"/>
      <c r="B17" t="s" s="218">
        <v>13</v>
      </c>
      <c r="C17" t="s" s="218">
        <v>19</v>
      </c>
      <c r="D17" s="236">
        <f>('Ränge2'!V11='Ränge2'!V12)*1</f>
        <v>0</v>
      </c>
      <c r="E17" s="236">
        <f>(3*'Ränge2'!D11+'Ränge2'!G11)-(3*'Ränge2'!D12+'Ränge2'!G12)</f>
        <v>3</v>
      </c>
      <c r="F17" s="236">
        <f>('Ränge2'!AB11='Ränge2'!AB12)*1</f>
        <v>0</v>
      </c>
      <c r="G17" s="236">
        <f>'Tabelle'!AD19-'Tabelle'!AF19</f>
        <v>2</v>
      </c>
      <c r="H17" s="236">
        <f>('Ränge2'!AH11='Ränge2'!AH12)*1</f>
        <v>0</v>
      </c>
      <c r="I17" s="236">
        <f>'Tabelle'!AD19</f>
        <v>3</v>
      </c>
      <c r="J17" s="236">
        <f>'Tabelle'!AF19</f>
        <v>1</v>
      </c>
      <c r="K17" s="219"/>
      <c r="L17" t="s" s="218">
        <v>46</v>
      </c>
      <c r="M17" s="236">
        <f>'Gruppen'!$J19</f>
        <v>-6</v>
      </c>
      <c r="N17" s="236">
        <f>'Gruppen'!$G19</f>
        <v>1</v>
      </c>
      <c r="O17" s="236">
        <f>$D20*$E20*(-1)+$D22*$E22*(-1)+$D25*$E25</f>
        <v>0</v>
      </c>
      <c r="P17" s="236">
        <f>$F20*$G20*(-1)+$F22*$G22*(-1)+$F25*$G25</f>
        <v>0</v>
      </c>
      <c r="Q17" s="236">
        <f>$H20*$J20+$H22*$J22+$H25*$I25</f>
        <v>0</v>
      </c>
      <c r="R17" s="219"/>
      <c r="S17" s="219"/>
      <c r="T17" s="219"/>
      <c r="U17" s="219"/>
      <c r="V17" s="239"/>
    </row>
    <row r="18" ht="1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t="s" s="218">
        <v>44</v>
      </c>
      <c r="M18" s="236">
        <f>'Gruppen'!$J20</f>
        <v>-3</v>
      </c>
      <c r="N18" s="236">
        <f>'Gruppen'!$G20</f>
        <v>3</v>
      </c>
      <c r="O18" s="236">
        <f>$D21*$E21+$D23*$E23*-1+$D25*$E25*-1</f>
        <v>0</v>
      </c>
      <c r="P18" s="236">
        <f>$F21*$G21+$F23*$G23*-1+$F25*$G25*-1</f>
        <v>0</v>
      </c>
      <c r="Q18" s="236">
        <f>$H21*$I21+$H23*$J23+$H25*$J25</f>
        <v>0</v>
      </c>
      <c r="R18" s="219"/>
      <c r="S18" s="219"/>
      <c r="T18" s="219"/>
      <c r="U18" s="219"/>
      <c r="V18" s="239"/>
    </row>
    <row r="19" ht="15" customHeight="1">
      <c r="A19" s="219"/>
      <c r="B19" s="219"/>
      <c r="C19" s="219"/>
      <c r="D19" t="s" s="218">
        <v>132</v>
      </c>
      <c r="E19" t="s" s="218">
        <v>133</v>
      </c>
      <c r="F19" t="s" s="218">
        <v>134</v>
      </c>
      <c r="G19" t="s" s="218">
        <v>135</v>
      </c>
      <c r="H19" t="s" s="218">
        <v>136</v>
      </c>
      <c r="I19" t="s" s="218">
        <v>137</v>
      </c>
      <c r="J19" t="s" s="218">
        <v>138</v>
      </c>
      <c r="K19" t="s" s="218">
        <v>139</v>
      </c>
      <c r="L19" t="s" s="218">
        <v>42</v>
      </c>
      <c r="M19" s="236">
        <f>'Gruppen'!$J21</f>
        <v>1</v>
      </c>
      <c r="N19" s="236">
        <f>'Gruppen'!$G21</f>
        <v>5</v>
      </c>
      <c r="O19" s="236">
        <f>$D21*$E21*-1+$D22*$E22+$D24*$E24</f>
        <v>0</v>
      </c>
      <c r="P19" s="236">
        <f>$F21*$G21*-1+$F22*$G22+$F24*$G24</f>
        <v>0</v>
      </c>
      <c r="Q19" s="236">
        <f>$H21*$J21+$H22*$I22+$H24*$I24</f>
        <v>0</v>
      </c>
      <c r="R19" s="219"/>
      <c r="S19" s="219"/>
      <c r="T19" s="219"/>
      <c r="U19" s="219"/>
      <c r="V19" s="239"/>
    </row>
    <row r="20" ht="15" customHeight="1">
      <c r="A20" s="219"/>
      <c r="B20" t="s" s="218">
        <v>40</v>
      </c>
      <c r="C20" t="s" s="218">
        <v>46</v>
      </c>
      <c r="D20" s="236">
        <f>('Ränge2'!V16='Ränge2'!V17)*1</f>
        <v>0</v>
      </c>
      <c r="E20" s="236">
        <f>(3*'Ränge2'!B16+'Ränge2'!E16)-(3*'Ränge2'!B17+'Ränge2'!E17)</f>
        <v>3</v>
      </c>
      <c r="F20" s="236">
        <f>('Ränge2'!AB16='Ränge2'!AB17)*1</f>
        <v>0</v>
      </c>
      <c r="G20" s="236">
        <f>'Tabelle'!M31-'Tabelle'!O31</f>
        <v>3</v>
      </c>
      <c r="H20" s="236">
        <f>('Ränge2'!AH16='Ränge2'!AH17)*1</f>
        <v>0</v>
      </c>
      <c r="I20" s="236">
        <f>'Tabelle'!M31</f>
        <v>3</v>
      </c>
      <c r="J20" s="236">
        <f>'Tabelle'!O31</f>
        <v>0</v>
      </c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</row>
    <row r="21" ht="15" customHeight="1">
      <c r="A21" s="219"/>
      <c r="B21" t="s" s="218">
        <v>44</v>
      </c>
      <c r="C21" t="s" s="218">
        <v>42</v>
      </c>
      <c r="D21" s="236">
        <f>('Ränge2'!V18='Ränge2'!V19)*1</f>
        <v>0</v>
      </c>
      <c r="E21" s="236">
        <f>(3*'Ränge2'!B18+'Ränge2'!E18)-(3*'Ränge2'!B19+'Ränge2'!E19)</f>
        <v>-3</v>
      </c>
      <c r="F21" s="236">
        <f>('Ränge2'!AB18='Ränge2'!AB19)*1</f>
        <v>0</v>
      </c>
      <c r="G21" s="236">
        <f>'Tabelle'!M32-'Tabelle'!O32</f>
        <v>-1</v>
      </c>
      <c r="H21" s="236">
        <f>('Ränge2'!AH18='Ränge2'!AH19)*1</f>
        <v>0</v>
      </c>
      <c r="I21" s="236">
        <f>'Tabelle'!M32</f>
        <v>1</v>
      </c>
      <c r="J21" s="236">
        <f>'Tabelle'!O32</f>
        <v>2</v>
      </c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</row>
    <row r="22" ht="15" customHeight="1">
      <c r="A22" s="219"/>
      <c r="B22" t="s" s="218">
        <v>42</v>
      </c>
      <c r="C22" t="s" s="218">
        <v>46</v>
      </c>
      <c r="D22" s="236">
        <f>('Ränge2'!V17='Ränge2'!V19)*1</f>
        <v>0</v>
      </c>
      <c r="E22" s="236">
        <f>(3*'Ränge2'!C19+'Ränge2'!F19)-(3*'Ränge2'!C17+'Ränge2'!F17)</f>
        <v>3</v>
      </c>
      <c r="F22" s="236">
        <f>('Ränge2'!AB17='Ränge2'!AB19)*1</f>
        <v>0</v>
      </c>
      <c r="G22" s="236">
        <f>'Tabelle'!M33-'Tabelle'!O33</f>
        <v>2</v>
      </c>
      <c r="H22" s="236">
        <f>('Ränge2'!AH17='Ränge2'!AH19)*1</f>
        <v>0</v>
      </c>
      <c r="I22" s="236">
        <f>'Tabelle'!M33</f>
        <v>2</v>
      </c>
      <c r="J22" s="236">
        <f>'Tabelle'!O33</f>
        <v>0</v>
      </c>
      <c r="K22" s="219"/>
      <c r="L22" t="s" s="218">
        <v>41</v>
      </c>
      <c r="M22" s="236">
        <f>'Gruppen'!$J24</f>
        <v>5</v>
      </c>
      <c r="N22" s="236">
        <f>'Gruppen'!$G24</f>
        <v>7</v>
      </c>
      <c r="O22" s="236">
        <f>$D28*$E28+$D30*$E30+$D32*$E32*(-1)</f>
        <v>0</v>
      </c>
      <c r="P22" s="236">
        <f>$F28*$G28+$F30*$G30+$F32*$G32*(-1)</f>
        <v>0</v>
      </c>
      <c r="Q22" s="236">
        <f>$H28*$I28+$H30*$I30+$H32*$J32</f>
        <v>0</v>
      </c>
      <c r="R22" t="s" s="218">
        <v>139</v>
      </c>
      <c r="S22" s="219"/>
      <c r="T22" s="219"/>
      <c r="U22" s="219"/>
      <c r="V22" s="219"/>
    </row>
    <row r="23" ht="15" customHeight="1">
      <c r="A23" s="219"/>
      <c r="B23" t="s" s="218">
        <v>40</v>
      </c>
      <c r="C23" t="s" s="218">
        <v>44</v>
      </c>
      <c r="D23" s="236">
        <f>('Ränge2'!V16='Ränge2'!V18)*1</f>
        <v>0</v>
      </c>
      <c r="E23" s="236">
        <f>(3*'Ränge2'!C16+'Ränge2'!F16)-(3*'Ränge2'!C18+'Ränge2'!F18)</f>
        <v>3</v>
      </c>
      <c r="F23" s="236">
        <f>('Ränge2'!AB16='Ränge2'!AB18)*1</f>
        <v>0</v>
      </c>
      <c r="G23" s="236">
        <f>'Tabelle'!M34-'Tabelle'!O34</f>
        <v>3</v>
      </c>
      <c r="H23" s="236">
        <f>('Ränge2'!AH16='Ränge2'!AH18)*1</f>
        <v>0</v>
      </c>
      <c r="I23" s="236">
        <f>'Tabelle'!M34</f>
        <v>3</v>
      </c>
      <c r="J23" s="236">
        <f>'Tabelle'!O34</f>
        <v>0</v>
      </c>
      <c r="K23" s="219"/>
      <c r="L23" t="s" s="218">
        <v>47</v>
      </c>
      <c r="M23" s="236">
        <f>'Gruppen'!$J25</f>
        <v>-5</v>
      </c>
      <c r="N23" s="236">
        <f>'Gruppen'!$G25</f>
        <v>2</v>
      </c>
      <c r="O23" s="236">
        <f>$D28*$E28*(-1)+$D31*$E31*(-1)+$D33*$E33</f>
        <v>0</v>
      </c>
      <c r="P23" s="236">
        <f>$F28*$G28*(-1)+$F31*$G31*(-1)+$F33*$G33</f>
        <v>0</v>
      </c>
      <c r="Q23" s="236">
        <f>$H28*$J28+$H31*$J31+$H33*$I33</f>
        <v>0</v>
      </c>
      <c r="R23" s="219"/>
      <c r="S23" s="219"/>
      <c r="T23" s="219"/>
      <c r="U23" s="219"/>
      <c r="V23" s="219"/>
    </row>
    <row r="24" ht="15" customHeight="1">
      <c r="A24" s="219"/>
      <c r="B24" t="s" s="218">
        <v>42</v>
      </c>
      <c r="C24" t="s" s="218">
        <v>40</v>
      </c>
      <c r="D24" s="236">
        <f>('Ränge2'!V16='Ränge2'!V19)*1</f>
        <v>0</v>
      </c>
      <c r="E24" s="236">
        <f>(3*'Ränge2'!D19+'Ränge2'!G19)-(3*'Ränge2'!D16+'Ränge2'!G16)</f>
        <v>-3</v>
      </c>
      <c r="F24" s="236">
        <f>('Ränge2'!AB16='Ränge2'!AB19)*1</f>
        <v>0</v>
      </c>
      <c r="G24" s="236">
        <f>'Tabelle'!M35-'Tabelle'!O35</f>
        <v>-2</v>
      </c>
      <c r="H24" s="236">
        <f>('Ränge2'!AH16='Ränge2'!AH19)*1</f>
        <v>0</v>
      </c>
      <c r="I24" s="236">
        <f>'Tabelle'!M35</f>
        <v>1</v>
      </c>
      <c r="J24" s="236">
        <f>'Tabelle'!O35</f>
        <v>3</v>
      </c>
      <c r="K24" s="219"/>
      <c r="L24" t="s" s="218">
        <v>43</v>
      </c>
      <c r="M24" s="236">
        <f>'Gruppen'!$J26</f>
        <v>0</v>
      </c>
      <c r="N24" s="236">
        <f>'Gruppen'!$G26</f>
        <v>5</v>
      </c>
      <c r="O24" s="236">
        <f>$D29*$E29+$D30*$E30*-1+$D33*$E33*-1</f>
        <v>0</v>
      </c>
      <c r="P24" s="236">
        <f>$F29*$G29+$F30*$G30*-1+$F33*$G33*-1</f>
        <v>0</v>
      </c>
      <c r="Q24" s="236">
        <f>$H29*$I29+$H30*$J30+$H33*$J33</f>
        <v>0</v>
      </c>
      <c r="R24" s="219"/>
      <c r="S24" s="219"/>
      <c r="T24" s="219"/>
      <c r="U24" s="219"/>
      <c r="V24" s="219"/>
    </row>
    <row r="25" ht="15" customHeight="1">
      <c r="A25" s="219"/>
      <c r="B25" t="s" s="218">
        <v>46</v>
      </c>
      <c r="C25" t="s" s="218">
        <v>44</v>
      </c>
      <c r="D25" s="236">
        <f>('Ränge2'!V17='Ränge2'!V28)*1</f>
        <v>0</v>
      </c>
      <c r="E25" s="236">
        <f>(3*'Ränge2'!D17+'Ränge2'!G17)-(3*'Ränge2'!D18+'Ränge2'!G18)</f>
        <v>-3</v>
      </c>
      <c r="F25" s="236">
        <f>('Ränge2'!AB17='Ränge2'!AB28)*1</f>
        <v>0</v>
      </c>
      <c r="G25" s="236">
        <f>'Tabelle'!M36-'Tabelle'!O36</f>
        <v>-1</v>
      </c>
      <c r="H25" s="236">
        <f>('Ränge2'!AH17='Ränge2'!AH28)*1</f>
        <v>0</v>
      </c>
      <c r="I25" s="236">
        <f>'Tabelle'!M36</f>
        <v>1</v>
      </c>
      <c r="J25" s="236">
        <f>'Tabelle'!O36</f>
        <v>2</v>
      </c>
      <c r="K25" s="219"/>
      <c r="L25" t="s" s="218">
        <v>45</v>
      </c>
      <c r="M25" s="236">
        <f>'Gruppen'!$J27</f>
        <v>0</v>
      </c>
      <c r="N25" s="236">
        <f>'Gruppen'!$G27</f>
        <v>4</v>
      </c>
      <c r="O25" s="236">
        <f>$D29*$E29*-1+$D31*$E31+$D32*$E32</f>
        <v>0</v>
      </c>
      <c r="P25" s="236">
        <f>$F29*$G29*-1+$F31*$G31+$F32*$G32</f>
        <v>0</v>
      </c>
      <c r="Q25" s="236">
        <f>$H29*$J29+$H31*$I31+$H32*$I32</f>
        <v>0</v>
      </c>
      <c r="R25" s="219"/>
      <c r="S25" s="219"/>
      <c r="T25" s="219"/>
      <c r="U25" s="219"/>
      <c r="V25" s="219"/>
    </row>
    <row r="26" ht="1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</row>
    <row r="27" ht="15" customHeight="1">
      <c r="A27" s="219"/>
      <c r="B27" s="219"/>
      <c r="C27" s="219"/>
      <c r="D27" t="s" s="218">
        <v>132</v>
      </c>
      <c r="E27" t="s" s="218">
        <v>133</v>
      </c>
      <c r="F27" t="s" s="218">
        <v>134</v>
      </c>
      <c r="G27" t="s" s="218">
        <v>135</v>
      </c>
      <c r="H27" t="s" s="218">
        <v>136</v>
      </c>
      <c r="I27" t="s" s="218">
        <v>137</v>
      </c>
      <c r="J27" t="s" s="218">
        <v>138</v>
      </c>
      <c r="K27" t="s" s="218">
        <v>139</v>
      </c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</row>
    <row r="28" ht="15" customHeight="1">
      <c r="A28" s="219"/>
      <c r="B28" t="s" s="218">
        <v>41</v>
      </c>
      <c r="C28" t="s" s="218">
        <v>47</v>
      </c>
      <c r="D28" s="236">
        <f>('Ränge2'!V22='Ränge2'!V23)*1</f>
        <v>0</v>
      </c>
      <c r="E28" s="236">
        <f>(3*'Ränge2'!B22+'Ränge2'!E22)-(3*'Ränge2'!B23+'Ränge2'!E23)</f>
        <v>3</v>
      </c>
      <c r="F28" s="236">
        <f>('Ränge2'!AB22='Ränge2'!AB23)*1</f>
        <v>0</v>
      </c>
      <c r="G28" s="236">
        <f>'Tabelle'!AD31-'Tabelle'!AF31</f>
        <v>2</v>
      </c>
      <c r="H28" s="236">
        <f>('Ränge2'!AH22='Ränge2'!AH23)*1</f>
        <v>0</v>
      </c>
      <c r="I28" s="236">
        <f>'Tabelle'!AD31</f>
        <v>2</v>
      </c>
      <c r="J28" s="236">
        <f>'Tabelle'!AF31</f>
        <v>0</v>
      </c>
      <c r="K28" s="219"/>
      <c r="L28" t="s" s="218">
        <v>57</v>
      </c>
      <c r="M28" s="236">
        <f>'Gruppen'!$J30</f>
        <v>6</v>
      </c>
      <c r="N28" s="236">
        <f>'Gruppen'!$G30</f>
        <v>7</v>
      </c>
      <c r="O28" s="236">
        <f>$D37*$E37+$D38*$E38+$D40*$E40*(-1)</f>
        <v>0</v>
      </c>
      <c r="P28" s="236">
        <f>$F37*$G37+$F38*$G38+$F40*$G40*(-1)</f>
        <v>0</v>
      </c>
      <c r="Q28" s="236">
        <f>$H37*$I37+$H38*$I38+$H40*$J40</f>
        <v>0</v>
      </c>
      <c r="R28" s="219"/>
      <c r="S28" s="219"/>
      <c r="T28" s="219"/>
      <c r="U28" s="219"/>
      <c r="V28" s="219"/>
    </row>
    <row r="29" ht="15" customHeight="1">
      <c r="A29" s="219"/>
      <c r="B29" t="s" s="218">
        <v>43</v>
      </c>
      <c r="C29" t="s" s="218">
        <v>45</v>
      </c>
      <c r="D29" s="236">
        <f>('Ränge2'!V24='Ränge2'!V25)*1</f>
        <v>0</v>
      </c>
      <c r="E29" s="236">
        <f>(3*'Ränge2'!B24+'Ränge2'!E24)-(3*'Ränge2'!B25+'Ränge2'!E25)</f>
        <v>0</v>
      </c>
      <c r="F29" s="236">
        <f>('Ränge2'!AB24='Ränge2'!AB25)*1</f>
        <v>0</v>
      </c>
      <c r="G29" s="236">
        <f>'Tabelle'!AD32-'Tabelle'!AF32</f>
        <v>0</v>
      </c>
      <c r="H29" s="236">
        <f>('Ränge2'!AH24='Ränge2'!AH25)*1</f>
        <v>0</v>
      </c>
      <c r="I29" s="236">
        <f>'Tabelle'!AD32</f>
        <v>1</v>
      </c>
      <c r="J29" s="236">
        <f>'Tabelle'!AF32</f>
        <v>1</v>
      </c>
      <c r="K29" s="219"/>
      <c r="L29" t="s" s="218">
        <v>61</v>
      </c>
      <c r="M29" s="236">
        <f>'Gruppen'!$J31</f>
        <v>-1</v>
      </c>
      <c r="N29" s="236">
        <f>'Gruppen'!$G31</f>
        <v>3</v>
      </c>
      <c r="O29" s="236">
        <f>$D37*$E37*(-1)+$D39*$E39*(-1)+$D41*$E41</f>
        <v>0</v>
      </c>
      <c r="P29" s="236">
        <f>$F37*$G37*(-1)+$F39*$G39*(-1)+$F41*$G41</f>
        <v>0</v>
      </c>
      <c r="Q29" s="236">
        <f>$H37*$J37+$H39*$J39+$H41*$I41</f>
        <v>0</v>
      </c>
      <c r="R29" s="219"/>
      <c r="S29" s="219"/>
      <c r="T29" s="219"/>
      <c r="U29" s="219"/>
      <c r="V29" s="219"/>
    </row>
    <row r="30" ht="15" customHeight="1">
      <c r="A30" s="219"/>
      <c r="B30" t="s" s="218">
        <v>41</v>
      </c>
      <c r="C30" t="s" s="218">
        <v>43</v>
      </c>
      <c r="D30" s="236">
        <f>('Ränge2'!V22='Ränge2'!V24)*1</f>
        <v>0</v>
      </c>
      <c r="E30" s="236">
        <f>(3*'Ränge2'!C22+'Ränge2'!F22)-(3*'Ränge2'!C24+'Ränge2'!F24)</f>
        <v>3</v>
      </c>
      <c r="F30" s="236">
        <f>('Ränge2'!AB22='Ränge2'!AB24)*1</f>
        <v>0</v>
      </c>
      <c r="G30" s="236">
        <f>'Tabelle'!AD33-'Tabelle'!AF33</f>
        <v>2</v>
      </c>
      <c r="H30" s="236">
        <f>('Ränge2'!AH22='Ränge2'!AH24)*1</f>
        <v>0</v>
      </c>
      <c r="I30" s="236">
        <f>'Tabelle'!AD33</f>
        <v>3</v>
      </c>
      <c r="J30" s="236">
        <f>'Tabelle'!AF33</f>
        <v>1</v>
      </c>
      <c r="K30" s="219"/>
      <c r="L30" t="s" s="218">
        <v>63</v>
      </c>
      <c r="M30" s="236">
        <f>'Gruppen'!$J32</f>
        <v>-5</v>
      </c>
      <c r="N30" s="236">
        <f>'Gruppen'!$G32</f>
        <v>0</v>
      </c>
      <c r="O30" s="236">
        <f>$D36*$E36+$D38*$E38*-1+$D41*$E41*-1</f>
        <v>0</v>
      </c>
      <c r="P30" s="236">
        <f>$F36*$G36+$F38*$G38*-1+$F41*$G41*-1</f>
        <v>0</v>
      </c>
      <c r="Q30" s="236">
        <f>$H36*$I36+$H38*$J38+$H41*$J41</f>
        <v>0</v>
      </c>
      <c r="R30" s="219"/>
      <c r="S30" s="219"/>
      <c r="T30" s="219"/>
      <c r="U30" s="219"/>
      <c r="V30" s="219"/>
    </row>
    <row r="31" ht="15" customHeight="1">
      <c r="A31" s="219"/>
      <c r="B31" t="s" s="218">
        <v>45</v>
      </c>
      <c r="C31" t="s" s="218">
        <v>47</v>
      </c>
      <c r="D31" s="236">
        <f>('Ränge2'!V25='Ränge2'!V23)*1</f>
        <v>0</v>
      </c>
      <c r="E31" s="236">
        <f>(3*'Ränge2'!C25+'Ränge2'!F25)-(3*'Ränge2'!C23+'Ränge2'!F23)</f>
        <v>3</v>
      </c>
      <c r="F31" s="236">
        <f>('Ränge2'!AB25='Ränge2'!AB23)*1</f>
        <v>0</v>
      </c>
      <c r="G31" s="236">
        <f>'Tabelle'!AD34-'Tabelle'!AF34</f>
        <v>1</v>
      </c>
      <c r="H31" s="236">
        <f>('Ränge2'!AH25='Ränge2'!AH23)*1</f>
        <v>0</v>
      </c>
      <c r="I31" s="236">
        <f>'Tabelle'!AD34</f>
        <v>2</v>
      </c>
      <c r="J31" s="236">
        <f>'Tabelle'!AF34</f>
        <v>1</v>
      </c>
      <c r="K31" s="219"/>
      <c r="L31" t="s" s="218">
        <v>59</v>
      </c>
      <c r="M31" s="236">
        <f>'Gruppen'!$J33</f>
        <v>0</v>
      </c>
      <c r="N31" s="236">
        <f>'Gruppen'!$G33</f>
        <v>4</v>
      </c>
      <c r="O31" s="236">
        <f>$D36*$E36*-1+$D39*$E39+$D40*$E40</f>
        <v>0</v>
      </c>
      <c r="P31" s="236">
        <f>$F36*$G36*-1+$F39*$G39+$F40*$G40</f>
        <v>0</v>
      </c>
      <c r="Q31" s="236">
        <f>$H36*$J36+$H39*$I39+$H40*$I40</f>
        <v>0</v>
      </c>
      <c r="R31" s="219"/>
      <c r="S31" s="219"/>
      <c r="T31" s="219"/>
      <c r="U31" s="219"/>
      <c r="V31" s="219"/>
    </row>
    <row r="32" ht="15" customHeight="1">
      <c r="A32" s="219"/>
      <c r="B32" t="s" s="218">
        <v>45</v>
      </c>
      <c r="C32" t="s" s="218">
        <v>41</v>
      </c>
      <c r="D32" s="236">
        <f>('Ränge2'!V25='Ränge2'!V22)*1</f>
        <v>0</v>
      </c>
      <c r="E32" s="236">
        <f>(3*'Ränge2'!D25+'Ränge2'!G25)-(3*'Ränge2'!D22+'Ränge2'!G22)</f>
        <v>-3</v>
      </c>
      <c r="F32" s="236">
        <f>('Ränge2'!AB25='Ränge2'!AB22)*1</f>
        <v>0</v>
      </c>
      <c r="G32" s="236">
        <f>'Tabelle'!AD35-'Tabelle'!AF35</f>
        <v>-1</v>
      </c>
      <c r="H32" s="236">
        <f>('Ränge2'!AH25='Ränge2'!AH22)*1</f>
        <v>0</v>
      </c>
      <c r="I32" s="236">
        <f>'Tabelle'!AD35</f>
        <v>1</v>
      </c>
      <c r="J32" s="236">
        <f>'Tabelle'!AF35</f>
        <v>2</v>
      </c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</row>
    <row r="33" ht="15" customHeight="1">
      <c r="A33" s="219"/>
      <c r="B33" t="s" s="218">
        <v>47</v>
      </c>
      <c r="C33" t="s" s="218">
        <v>43</v>
      </c>
      <c r="D33" s="236">
        <f>('Ränge2'!V23='Ränge2'!V24)*1</f>
        <v>0</v>
      </c>
      <c r="E33" s="236">
        <f>(3*'Ränge2'!D23+'Ränge2'!G23)-(3*'Ränge2'!D24+'Ränge2'!G24)</f>
        <v>-3</v>
      </c>
      <c r="F33" s="236">
        <f>('Ränge2'!AB23='Ränge2'!AB24)*1</f>
        <v>0</v>
      </c>
      <c r="G33" s="236">
        <f>'Tabelle'!AD36-'Tabelle'!AF36</f>
        <v>-2</v>
      </c>
      <c r="H33" s="236">
        <f>('Ränge2'!AH23='Ränge2'!AH24)*1</f>
        <v>0</v>
      </c>
      <c r="I33" s="236">
        <f>'Tabelle'!AD36</f>
        <v>1</v>
      </c>
      <c r="J33" s="236">
        <f>'Tabelle'!AF36</f>
        <v>3</v>
      </c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</row>
    <row r="34" ht="15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t="s" s="218">
        <v>153</v>
      </c>
      <c r="M34" s="236">
        <f>'Gruppen'!$J36</f>
        <v>6</v>
      </c>
      <c r="N34" s="236">
        <f>'Gruppen'!$G36</f>
        <v>8</v>
      </c>
      <c r="O34" s="236">
        <f>$D44*$E44+$D47*$E47+$D48*$E48*(-1)</f>
        <v>0</v>
      </c>
      <c r="P34" s="236">
        <f>$F44*$G44+$F47*$G47+$F48*$G48*(-1)</f>
        <v>0</v>
      </c>
      <c r="Q34" s="236">
        <f>$H44*$I44+$H47*$I47+$H48*$J48</f>
        <v>0</v>
      </c>
      <c r="R34" s="219"/>
      <c r="S34" s="219"/>
      <c r="T34" s="219"/>
      <c r="U34" s="219"/>
      <c r="V34" s="219"/>
    </row>
    <row r="35" ht="15" customHeight="1">
      <c r="A35" s="219"/>
      <c r="B35" s="219"/>
      <c r="C35" s="219"/>
      <c r="D35" t="s" s="218">
        <v>132</v>
      </c>
      <c r="E35" t="s" s="218">
        <v>133</v>
      </c>
      <c r="F35" t="s" s="218">
        <v>134</v>
      </c>
      <c r="G35" t="s" s="218">
        <v>135</v>
      </c>
      <c r="H35" t="s" s="218">
        <v>136</v>
      </c>
      <c r="I35" t="s" s="218">
        <v>137</v>
      </c>
      <c r="J35" t="s" s="218">
        <v>138</v>
      </c>
      <c r="K35" t="s" s="218">
        <v>139</v>
      </c>
      <c r="L35" t="s" s="218">
        <v>64</v>
      </c>
      <c r="M35" s="236">
        <f>'Gruppen'!$J37</f>
        <v>-4</v>
      </c>
      <c r="N35" s="236">
        <f>'Gruppen'!$G37</f>
        <v>3</v>
      </c>
      <c r="O35" s="236">
        <f>$D44*$E44*(-1)+$D46*$E46*(-1)+$D49*$E49</f>
        <v>0</v>
      </c>
      <c r="P35" s="236">
        <f>$F44*$G44*(-1)+$F46*$G46*(-1)+$F49*$G49</f>
        <v>0</v>
      </c>
      <c r="Q35" s="236">
        <f>$H44*$J44+$H46*$J46+$H49*$I49</f>
        <v>0</v>
      </c>
      <c r="R35" s="219"/>
      <c r="S35" s="219"/>
      <c r="T35" s="219"/>
      <c r="U35" s="219"/>
      <c r="V35" s="219"/>
    </row>
    <row r="36" ht="15" customHeight="1">
      <c r="A36" s="219"/>
      <c r="B36" t="s" s="218">
        <v>63</v>
      </c>
      <c r="C36" t="s" s="218">
        <v>59</v>
      </c>
      <c r="D36" s="236">
        <f>('Ränge2'!V30='Ränge2'!V31)*1</f>
        <v>0</v>
      </c>
      <c r="E36" s="236">
        <f>(3*'Ränge2'!B30+'Ränge2'!E30)-(3*'Ränge2'!B31+'Ränge2'!E31)</f>
        <v>-3</v>
      </c>
      <c r="F36" s="236">
        <f>('Ränge2'!AB30='Ränge2'!AB31)*1</f>
        <v>0</v>
      </c>
      <c r="G36" s="236">
        <f>'Tabelle'!M48-'Tabelle'!O48</f>
        <v>-1</v>
      </c>
      <c r="H36" s="236">
        <f>('Ränge2'!AH30='Ränge2'!AH31)*1</f>
        <v>0</v>
      </c>
      <c r="I36" s="236">
        <f>'Tabelle'!M48</f>
        <v>0</v>
      </c>
      <c r="J36" s="236">
        <f>'Tabelle'!O48</f>
        <v>1</v>
      </c>
      <c r="K36" s="219"/>
      <c r="L36" t="s" s="218">
        <v>60</v>
      </c>
      <c r="M36" s="236">
        <f>'Gruppen'!$J38</f>
        <v>1</v>
      </c>
      <c r="N36" s="236">
        <f>'Gruppen'!$G38</f>
        <v>6</v>
      </c>
      <c r="O36" s="236">
        <f>$D45*$E45+$D47*$E47*-1+$D49*$E49*-1</f>
        <v>0</v>
      </c>
      <c r="P36" s="236">
        <f>$F45*$G45+$F47*$G47*-1+$F49*$G49*-1</f>
        <v>0</v>
      </c>
      <c r="Q36" s="236">
        <f>$H45*$I45+$H47*$J47+$H49*$J49</f>
        <v>0</v>
      </c>
      <c r="R36" s="219"/>
      <c r="S36" s="219"/>
      <c r="T36" s="219"/>
      <c r="U36" s="219"/>
      <c r="V36" s="219"/>
    </row>
    <row r="37" ht="15" customHeight="1">
      <c r="A37" s="219"/>
      <c r="B37" t="s" s="218">
        <v>57</v>
      </c>
      <c r="C37" t="s" s="218">
        <v>61</v>
      </c>
      <c r="D37" s="236">
        <f>('Ränge2'!V28='Ränge2'!V29)*1</f>
        <v>0</v>
      </c>
      <c r="E37" s="236">
        <f>(3*'Ränge2'!B28+'Ränge2'!E28)-(3*'Ränge2'!B29+'Ränge2'!E29)</f>
        <v>3</v>
      </c>
      <c r="F37" s="236">
        <f>('Ränge2'!AB28='Ränge2'!AB29)*1</f>
        <v>0</v>
      </c>
      <c r="G37" s="236">
        <f>'Tabelle'!M49-'Tabelle'!O49</f>
        <v>2</v>
      </c>
      <c r="H37" s="236">
        <f>('Ränge2'!AH28='Ränge2'!AH29)*1</f>
        <v>0</v>
      </c>
      <c r="I37" s="236">
        <f>'Tabelle'!M49</f>
        <v>2</v>
      </c>
      <c r="J37" s="236">
        <f>'Tabelle'!O49</f>
        <v>0</v>
      </c>
      <c r="K37" s="219"/>
      <c r="L37" t="s" s="218">
        <v>62</v>
      </c>
      <c r="M37" s="236">
        <f>'Gruppen'!$J39</f>
        <v>-3</v>
      </c>
      <c r="N37" s="236">
        <f>'Gruppen'!$G39</f>
        <v>4</v>
      </c>
      <c r="O37" s="236">
        <f>$D45*$E45*-1+$D46*$E46+$D48*$E48</f>
        <v>0</v>
      </c>
      <c r="P37" s="236">
        <f>$F45*$G45*-1+$F46*$G46+$F48*$G48</f>
        <v>0</v>
      </c>
      <c r="Q37" s="236">
        <f>$H45*$J45+$H46*$I46+$H48*$I48</f>
        <v>0</v>
      </c>
      <c r="R37" s="219"/>
      <c r="S37" s="219"/>
      <c r="T37" s="219"/>
      <c r="U37" s="219"/>
      <c r="V37" s="219"/>
    </row>
    <row r="38" ht="15" customHeight="1">
      <c r="A38" s="219"/>
      <c r="B38" t="s" s="218">
        <v>57</v>
      </c>
      <c r="C38" t="s" s="218">
        <v>63</v>
      </c>
      <c r="D38" s="236">
        <f>('Ränge2'!V28='Ränge2'!V30)*1</f>
        <v>0</v>
      </c>
      <c r="E38" s="236">
        <f>(3*'Ränge2'!C28+'Ränge2'!F28)-(3*'Ränge2'!C30+'Ränge2'!F30)</f>
        <v>3</v>
      </c>
      <c r="F38" s="236">
        <f>('Ränge2'!AB28='Ränge2'!AB30)*1</f>
        <v>0</v>
      </c>
      <c r="G38" s="236">
        <f>'Tabelle'!M50-'Tabelle'!O50</f>
        <v>2</v>
      </c>
      <c r="H38" s="236">
        <f>('Ränge2'!AH28='Ränge2'!AH30)*1</f>
        <v>0</v>
      </c>
      <c r="I38" s="236">
        <f>'Tabelle'!M50</f>
        <v>2</v>
      </c>
      <c r="J38" s="236">
        <f>'Tabelle'!O50</f>
        <v>0</v>
      </c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</row>
    <row r="39" ht="15" customHeight="1">
      <c r="A39" s="219"/>
      <c r="B39" t="s" s="218">
        <v>59</v>
      </c>
      <c r="C39" t="s" s="218">
        <v>61</v>
      </c>
      <c r="D39" s="236">
        <f>('Ränge2'!V29='Ränge2'!V31)*1</f>
        <v>0</v>
      </c>
      <c r="E39" s="236">
        <f>(3*'Ränge2'!C31+'Ränge2'!F31)-(3*'Ränge2'!C29+'Ränge2'!F29)</f>
        <v>3</v>
      </c>
      <c r="F39" s="236">
        <f>('Ränge2'!AB29='Ränge2'!AB31)*1</f>
        <v>0</v>
      </c>
      <c r="G39" s="236">
        <f>'Tabelle'!M51-'Tabelle'!O51</f>
        <v>1</v>
      </c>
      <c r="H39" s="236">
        <f>('Ränge2'!AH29='Ränge2'!AH31)*1</f>
        <v>0</v>
      </c>
      <c r="I39" s="236">
        <f>'Tabelle'!M51</f>
        <v>2</v>
      </c>
      <c r="J39" s="236">
        <f>'Tabelle'!O51</f>
        <v>1</v>
      </c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</row>
    <row r="40" ht="15" customHeight="1">
      <c r="A40" s="219"/>
      <c r="B40" t="s" s="218">
        <v>59</v>
      </c>
      <c r="C40" t="s" s="218">
        <v>57</v>
      </c>
      <c r="D40" s="236">
        <f>('Ränge2'!V31='Ränge2'!V28)*1</f>
        <v>0</v>
      </c>
      <c r="E40" s="236">
        <f>(3*'Ränge2'!D31+'Ränge2'!G31)-(3*'Ränge2'!D28+'Ränge2'!G28)</f>
        <v>-3</v>
      </c>
      <c r="F40" s="236">
        <f>('Ränge2'!AB31='Ränge2'!AB28)*1</f>
        <v>0</v>
      </c>
      <c r="G40" s="236">
        <f>'Tabelle'!M52-'Tabelle'!O52</f>
        <v>-2</v>
      </c>
      <c r="H40" s="236">
        <f>('Ränge2'!AH31='Ränge2'!AH28)*1</f>
        <v>0</v>
      </c>
      <c r="I40" s="236">
        <f>'Tabelle'!M52</f>
        <v>1</v>
      </c>
      <c r="J40" s="236">
        <f>'Tabelle'!O52</f>
        <v>3</v>
      </c>
      <c r="K40" s="219"/>
      <c r="L40" t="s" s="218">
        <v>75</v>
      </c>
      <c r="M40" s="236">
        <f>'Gruppen'!$J42</f>
        <v>4</v>
      </c>
      <c r="N40" s="236">
        <f>'Gruppen'!$G42</f>
        <v>6</v>
      </c>
      <c r="O40" s="236">
        <f>$D52*$E52+$D54*$E54+$D56*$E56*(-1)</f>
        <v>0</v>
      </c>
      <c r="P40" s="236">
        <f>$F52*$G52+$F54*$G54+$F56*$G56*(-1)</f>
        <v>0</v>
      </c>
      <c r="Q40" s="236">
        <f>$H52*$I52+$H54*$I54+$H56*$J56</f>
        <v>0</v>
      </c>
      <c r="R40" s="219"/>
      <c r="S40" s="219"/>
      <c r="T40" s="219"/>
      <c r="U40" s="219"/>
      <c r="V40" s="219"/>
    </row>
    <row r="41" ht="15" customHeight="1">
      <c r="A41" s="219"/>
      <c r="B41" t="s" s="218">
        <v>61</v>
      </c>
      <c r="C41" t="s" s="218">
        <v>63</v>
      </c>
      <c r="D41" s="236">
        <f>('Ränge2'!V29='Ränge2'!V30)*1</f>
        <v>0</v>
      </c>
      <c r="E41" s="236">
        <f>(3*'Ränge2'!D29+'Ränge2'!G29)-(3*'Ränge2'!D30+'Ränge2'!G30)</f>
        <v>3</v>
      </c>
      <c r="F41" s="236">
        <f>('Ränge2'!AB29='Ränge2'!AB30)*1</f>
        <v>0</v>
      </c>
      <c r="G41" s="236">
        <f>'Tabelle'!M53-'Tabelle'!O53</f>
        <v>2</v>
      </c>
      <c r="H41" s="236">
        <f>('Ränge2'!AH29='Ränge2'!AH30)*1</f>
        <v>0</v>
      </c>
      <c r="I41" s="236">
        <f>'Tabelle'!M53</f>
        <v>2</v>
      </c>
      <c r="J41" s="236">
        <f>'Tabelle'!O53</f>
        <v>0</v>
      </c>
      <c r="K41" s="219"/>
      <c r="L41" t="s" s="218">
        <v>79</v>
      </c>
      <c r="M41" s="236">
        <f>'Gruppen'!$J43</f>
        <v>-6</v>
      </c>
      <c r="N41" s="236">
        <f>'Gruppen'!$G43</f>
        <v>1</v>
      </c>
      <c r="O41" s="236">
        <f>$D52*$E52*(-1)+$D55*$E55*(-1)+$D57*$E57</f>
        <v>0</v>
      </c>
      <c r="P41" s="236">
        <f>$F52*$G52*(-1)+$F55*$G55*(-1)+$F57*$G57</f>
        <v>0</v>
      </c>
      <c r="Q41" s="236">
        <f>$H52*$J52+$H55*$J55+$H57*$I57</f>
        <v>0</v>
      </c>
      <c r="R41" s="219"/>
      <c r="S41" s="219"/>
      <c r="T41" s="219"/>
      <c r="U41" s="219"/>
      <c r="V41" s="219"/>
    </row>
    <row r="42" ht="15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t="s" s="218">
        <v>77</v>
      </c>
      <c r="M42" s="236">
        <f>'Gruppen'!$J44</f>
        <v>-4</v>
      </c>
      <c r="N42" s="236">
        <f>'Gruppen'!$G44</f>
        <v>1</v>
      </c>
      <c r="O42" s="236">
        <f>$D53*$E53+$D54*$E54*-1+$D57*$E57*-1</f>
        <v>0</v>
      </c>
      <c r="P42" s="236">
        <f>$F53*$G53+$F54*$G54*-1+$F57*$G57*-1</f>
        <v>0</v>
      </c>
      <c r="Q42" s="236">
        <f>$H53*$I53+$H54*$J54+$H57*$J57</f>
        <v>0</v>
      </c>
      <c r="R42" s="219"/>
      <c r="S42" s="219"/>
      <c r="T42" s="219"/>
      <c r="U42" s="219"/>
      <c r="V42" s="219"/>
    </row>
    <row r="43" ht="15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t="s" s="218">
        <v>73</v>
      </c>
      <c r="M43" s="236">
        <f>'Gruppen'!$J45</f>
        <v>6</v>
      </c>
      <c r="N43" s="236">
        <f>'Gruppen'!$G45</f>
        <v>7</v>
      </c>
      <c r="O43" s="236">
        <f>$D53*$E53*-1+$D55*$E55+$D56*$E56</f>
        <v>0</v>
      </c>
      <c r="P43" s="236">
        <f>$F53*$G53*-1+$F55*$G55+$F56*$G56</f>
        <v>0</v>
      </c>
      <c r="Q43" s="236">
        <f>$H53*$J53+$H55*$I55+$H56*$I56</f>
        <v>0</v>
      </c>
      <c r="R43" s="219"/>
      <c r="S43" s="219"/>
      <c r="T43" s="219"/>
      <c r="U43" s="219"/>
      <c r="V43" s="219"/>
    </row>
    <row r="44" ht="15" customHeight="1">
      <c r="A44" s="219"/>
      <c r="B44" t="s" s="218">
        <v>58</v>
      </c>
      <c r="C44" t="s" s="218">
        <v>64</v>
      </c>
      <c r="D44" s="236">
        <f>('Ränge2'!V34='Ränge2'!V35)*1</f>
        <v>0</v>
      </c>
      <c r="E44" s="236">
        <f>(3*'Ränge2'!B34+'Ränge2'!E34)-(3*'Ränge2'!B35+'Ränge2'!E35)</f>
        <v>3</v>
      </c>
      <c r="F44" s="236">
        <f>('Ränge2'!AB34='Ränge2'!AB35)*1</f>
        <v>0</v>
      </c>
      <c r="G44" s="236">
        <f>'Tabelle'!AD48-'Tabelle'!AF48</f>
        <v>2</v>
      </c>
      <c r="H44" s="236">
        <f>('Ränge2'!AH34='Ränge2'!AH35)*1</f>
        <v>0</v>
      </c>
      <c r="I44" s="236">
        <f>'Tabelle'!AD48</f>
        <v>2</v>
      </c>
      <c r="J44" s="236">
        <f>'Tabelle'!AF48</f>
        <v>0</v>
      </c>
      <c r="K44" t="s" s="218">
        <v>139</v>
      </c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</row>
    <row r="45" ht="15" customHeight="1">
      <c r="A45" s="219"/>
      <c r="B45" t="s" s="218">
        <v>60</v>
      </c>
      <c r="C45" t="s" s="218">
        <v>62</v>
      </c>
      <c r="D45" s="236">
        <f>('Ränge2'!V36='Ränge2'!V37)*1</f>
        <v>0</v>
      </c>
      <c r="E45" s="236">
        <f>(3*'Ränge2'!B36+'Ränge2'!E36)-(3*'Ränge2'!B37+'Ränge2'!E37)</f>
        <v>3</v>
      </c>
      <c r="F45" s="236">
        <f>('Ränge2'!AB36='Ränge2'!AB37)*1</f>
        <v>0</v>
      </c>
      <c r="G45" s="236">
        <f>'Tabelle'!AD49-'Tabelle'!AF49</f>
        <v>1</v>
      </c>
      <c r="H45" s="236">
        <f>('Ränge2'!AH36='Ränge2'!AH37)*1</f>
        <v>0</v>
      </c>
      <c r="I45" s="236">
        <f>'Tabelle'!AD49</f>
        <v>2</v>
      </c>
      <c r="J45" s="236">
        <f>'Tabelle'!AF49</f>
        <v>1</v>
      </c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</row>
    <row r="46" ht="15" customHeight="1">
      <c r="A46" s="219"/>
      <c r="B46" t="s" s="218">
        <v>62</v>
      </c>
      <c r="C46" t="s" s="218">
        <v>64</v>
      </c>
      <c r="D46" s="236">
        <f>('Ränge2'!V37='Ränge2'!V35)*1</f>
        <v>0</v>
      </c>
      <c r="E46" s="236">
        <f>(3*'Ränge2'!C37+'Ränge2'!F37)-(3*'Ränge2'!C35+'Ränge2'!F35)</f>
        <v>0</v>
      </c>
      <c r="F46" s="236">
        <f>('Ränge2'!AB37='Ränge2'!AB35)*1</f>
        <v>0</v>
      </c>
      <c r="G46" s="236">
        <f>'Tabelle'!AD50-'Tabelle'!AF50</f>
        <v>0</v>
      </c>
      <c r="H46" s="236">
        <f>('Ränge2'!AH37='Ränge2'!AH35)*1</f>
        <v>0</v>
      </c>
      <c r="I46" s="236">
        <f>'Tabelle'!AD50</f>
        <v>2</v>
      </c>
      <c r="J46" s="236">
        <f>'Tabelle'!AF50</f>
        <v>2</v>
      </c>
      <c r="K46" s="219"/>
      <c r="L46" t="s" s="218">
        <v>74</v>
      </c>
      <c r="M46" s="236">
        <f>'Gruppen'!$J48</f>
        <v>3</v>
      </c>
      <c r="N46" s="236">
        <f>'Gruppen'!$G48</f>
        <v>6</v>
      </c>
      <c r="O46" s="236">
        <f>$D61*$E61+$D63*$E63+$D64*$E64*(-1)</f>
        <v>0</v>
      </c>
      <c r="P46" s="236">
        <f>$F61*$G61+$F63*$G63+$F64*$G64*(-1)</f>
        <v>0</v>
      </c>
      <c r="Q46" s="236">
        <f>$H61*$I61+$H63*$I63+$H64*$J64</f>
        <v>0</v>
      </c>
      <c r="R46" s="219"/>
      <c r="S46" s="219"/>
      <c r="T46" s="219"/>
      <c r="U46" s="219"/>
      <c r="V46" s="219"/>
    </row>
    <row r="47" ht="15" customHeight="1">
      <c r="A47" s="219"/>
      <c r="B47" t="s" s="218">
        <v>58</v>
      </c>
      <c r="C47" t="s" s="218">
        <v>60</v>
      </c>
      <c r="D47" s="236">
        <f>('Ränge2'!V34='Ränge2'!V36)*1</f>
        <v>0</v>
      </c>
      <c r="E47" s="236">
        <f>(3*'Ränge2'!C34+'Ränge2'!F34)-(3*'Ränge2'!C36+'Ränge2'!F36)</f>
        <v>3</v>
      </c>
      <c r="F47" s="236">
        <f>('Ränge2'!AB34='Ränge2'!AB36)*1</f>
        <v>0</v>
      </c>
      <c r="G47" s="236">
        <f>'Tabelle'!AD51-'Tabelle'!AF51</f>
        <v>2</v>
      </c>
      <c r="H47" s="236">
        <f>('Ränge2'!AH34='Ränge2'!AH36)*1</f>
        <v>0</v>
      </c>
      <c r="I47" s="236">
        <f>'Tabelle'!AD51</f>
        <v>3</v>
      </c>
      <c r="J47" s="236">
        <f>'Tabelle'!AF51</f>
        <v>1</v>
      </c>
      <c r="K47" s="219"/>
      <c r="L47" t="s" s="218">
        <v>80</v>
      </c>
      <c r="M47" s="236">
        <f>'Gruppen'!$J49</f>
        <v>-5</v>
      </c>
      <c r="N47" s="236">
        <f>'Gruppen'!$G49</f>
        <v>2</v>
      </c>
      <c r="O47" s="236">
        <f>$D61*$E61*(-1)+$D62*$E62*(-1)+$D65*$E65</f>
        <v>0</v>
      </c>
      <c r="P47" s="236">
        <f>$F61*$G61*(-1)+$F62*$G62*(-1)+$F65*$G65</f>
        <v>0</v>
      </c>
      <c r="Q47" s="236">
        <f>$H61*$J61+$H62*$J62+$H65*$I65</f>
        <v>0</v>
      </c>
      <c r="R47" s="219"/>
      <c r="S47" s="219"/>
      <c r="T47" s="219"/>
      <c r="U47" s="219"/>
      <c r="V47" s="219"/>
    </row>
    <row r="48" ht="15" customHeight="1">
      <c r="A48" s="219"/>
      <c r="B48" t="s" s="218">
        <v>62</v>
      </c>
      <c r="C48" t="s" s="218">
        <v>58</v>
      </c>
      <c r="D48" s="236">
        <f>('Ränge2'!V37='Ränge2'!V34)*1</f>
        <v>0</v>
      </c>
      <c r="E48" s="236">
        <f>(3*'Ränge2'!D37+'Ränge2'!G37)-(3*'Ränge2'!D34+'Ränge2'!G34)</f>
        <v>-3</v>
      </c>
      <c r="F48" s="236">
        <f>('Ränge2'!AB37='Ränge2'!AB34)*1</f>
        <v>0</v>
      </c>
      <c r="G48" s="236">
        <f>'Tabelle'!AD52-'Tabelle'!AF52</f>
        <v>-2</v>
      </c>
      <c r="H48" s="236">
        <f>('Ränge2'!AH37='Ränge2'!AH34)*1</f>
        <v>0</v>
      </c>
      <c r="I48" s="236">
        <f>'Tabelle'!AD52</f>
        <v>1</v>
      </c>
      <c r="J48" s="236">
        <f>'Tabelle'!AF52</f>
        <v>3</v>
      </c>
      <c r="K48" s="219"/>
      <c r="L48" t="s" s="218">
        <v>78</v>
      </c>
      <c r="M48" s="236">
        <f>'Gruppen'!$J50</f>
        <v>0</v>
      </c>
      <c r="N48" s="236">
        <f>'Gruppen'!$G50</f>
        <v>5</v>
      </c>
      <c r="O48" s="236">
        <f>$D60*$E60+$D63*$E63*-1+$D65*$E65*-1</f>
        <v>0</v>
      </c>
      <c r="P48" s="236">
        <f>$F60*$G60+$F63*$G63*-1+$F65*$G65*-1</f>
        <v>0</v>
      </c>
      <c r="Q48" s="236">
        <f>$H60*$I60+$H63*$J63+$H65*$J65</f>
        <v>0</v>
      </c>
      <c r="R48" s="219"/>
      <c r="S48" s="219"/>
      <c r="T48" s="219"/>
      <c r="U48" s="219"/>
      <c r="V48" s="219"/>
    </row>
    <row r="49" ht="15" customHeight="1">
      <c r="A49" s="219"/>
      <c r="B49" t="s" s="218">
        <v>64</v>
      </c>
      <c r="C49" t="s" s="218">
        <v>60</v>
      </c>
      <c r="D49" s="236">
        <f>('Ränge2'!V35='Ränge2'!V36)*1</f>
        <v>0</v>
      </c>
      <c r="E49" s="236">
        <f>(3*'Ränge2'!D35+'Ränge2'!G35)-(3*'Ränge2'!D36+'Ränge2'!G36)</f>
        <v>-3</v>
      </c>
      <c r="F49" s="236">
        <f>('Ränge2'!AB35='Ränge2'!AB36)*1</f>
        <v>0</v>
      </c>
      <c r="G49" s="236">
        <f>'Tabelle'!AD53-'Tabelle'!AF53</f>
        <v>-2</v>
      </c>
      <c r="H49" s="236">
        <f>('Ränge2'!AH35='Ränge2'!AH36)*1</f>
        <v>0</v>
      </c>
      <c r="I49" s="236">
        <f>'Tabelle'!AD53</f>
        <v>1</v>
      </c>
      <c r="J49" s="236">
        <f>'Tabelle'!AF53</f>
        <v>3</v>
      </c>
      <c r="K49" s="219"/>
      <c r="L49" t="s" s="218">
        <v>76</v>
      </c>
      <c r="M49" s="236">
        <f>'Gruppen'!$J51</f>
        <v>2</v>
      </c>
      <c r="N49" s="236">
        <f>'Gruppen'!$G51</f>
        <v>5</v>
      </c>
      <c r="O49" s="236">
        <f>$D60*$E60*-1+$D62*$E62+$D64*$E64</f>
        <v>0</v>
      </c>
      <c r="P49" s="236">
        <f>$F60*$G60*-1+$F62*$G62+$F64*$G64</f>
        <v>0</v>
      </c>
      <c r="Q49" s="236">
        <f>$H60*$J60+$H62*$I62+$H64*$I64</f>
        <v>0</v>
      </c>
      <c r="R49" s="219"/>
      <c r="S49" s="219"/>
      <c r="T49" s="219"/>
      <c r="U49" s="219"/>
      <c r="V49" s="219"/>
    </row>
    <row r="50" ht="15" customHeigh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</row>
    <row r="51" ht="15" customHeight="1">
      <c r="A51" s="219"/>
      <c r="B51" s="219"/>
      <c r="C51" s="219"/>
      <c r="D51" t="s" s="218">
        <v>132</v>
      </c>
      <c r="E51" t="s" s="218">
        <v>133</v>
      </c>
      <c r="F51" t="s" s="218">
        <v>134</v>
      </c>
      <c r="G51" t="s" s="218">
        <v>135</v>
      </c>
      <c r="H51" t="s" s="218">
        <v>136</v>
      </c>
      <c r="I51" t="s" s="218">
        <v>137</v>
      </c>
      <c r="J51" t="s" s="218">
        <v>138</v>
      </c>
      <c r="K51" t="s" s="218">
        <v>139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</row>
    <row r="52" ht="15" customHeight="1">
      <c r="A52" s="219"/>
      <c r="B52" t="s" s="218">
        <v>75</v>
      </c>
      <c r="C52" t="s" s="218">
        <v>79</v>
      </c>
      <c r="D52" s="236">
        <f>('Ränge2'!V40='Ränge2'!V41)*1</f>
        <v>0</v>
      </c>
      <c r="E52" s="236">
        <f>(3*'Ränge2'!B40+'Ränge2'!E40)-(3*'Ränge2'!B41+'Ränge2'!E41)</f>
        <v>3</v>
      </c>
      <c r="F52" s="236">
        <f>('Ränge2'!AB40='Ränge2'!AB41)*1</f>
        <v>0</v>
      </c>
      <c r="G52" s="236">
        <f>'Tabelle'!M65-'Tabelle'!O65</f>
        <v>3</v>
      </c>
      <c r="H52" s="236">
        <f>('Ränge2'!AH40='Ränge2'!AH41)*1</f>
        <v>0</v>
      </c>
      <c r="I52" s="236">
        <f>'Tabelle'!M65</f>
        <v>3</v>
      </c>
      <c r="J52" s="236">
        <f>'Tabelle'!O65</f>
        <v>0</v>
      </c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</row>
    <row r="53" ht="15" customHeight="1">
      <c r="A53" s="219"/>
      <c r="B53" t="s" s="218">
        <v>77</v>
      </c>
      <c r="C53" t="s" s="218">
        <v>73</v>
      </c>
      <c r="D53" s="236">
        <f>('Ränge2'!V42='Ränge2'!V43)*1</f>
        <v>0</v>
      </c>
      <c r="E53" s="236">
        <f>(3*'Ränge2'!B42+'Ränge2'!E42)-(3*'Ränge2'!B43+'Ränge2'!E43)</f>
        <v>-3</v>
      </c>
      <c r="F53" s="236">
        <f>('Ränge2'!AB42='Ränge2'!AB43)*1</f>
        <v>0</v>
      </c>
      <c r="G53" s="236">
        <f>'Tabelle'!M66-'Tabelle'!O66</f>
        <v>-2</v>
      </c>
      <c r="H53" s="236">
        <f>('Ränge2'!AH42='Ränge2'!AH43)*1</f>
        <v>0</v>
      </c>
      <c r="I53" s="236">
        <f>'Tabelle'!M66</f>
        <v>0</v>
      </c>
      <c r="J53" s="236">
        <f>'Tabelle'!O66</f>
        <v>2</v>
      </c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</row>
    <row r="54" ht="15" customHeight="1">
      <c r="A54" s="219"/>
      <c r="B54" t="s" s="218">
        <v>75</v>
      </c>
      <c r="C54" t="s" s="218">
        <v>77</v>
      </c>
      <c r="D54" s="236">
        <f>('Ränge2'!V40='Ränge2'!V42)*1</f>
        <v>0</v>
      </c>
      <c r="E54" s="236">
        <f>(3*'Ränge2'!C40+'Ränge2'!F40)-(3*'Ränge2'!C42+'Ränge2'!F42)</f>
        <v>3</v>
      </c>
      <c r="F54" s="236">
        <f>('Ränge2'!AB40='Ränge2'!AB42)*1</f>
        <v>0</v>
      </c>
      <c r="G54" s="236">
        <f>'Tabelle'!M67-'Tabelle'!O67</f>
        <v>2</v>
      </c>
      <c r="H54" s="236">
        <f>('Ränge2'!AH40='Ränge2'!AH42)*1</f>
        <v>0</v>
      </c>
      <c r="I54" s="236">
        <f>'Tabelle'!M67</f>
        <v>2</v>
      </c>
      <c r="J54" s="236">
        <f>'Tabelle'!O67</f>
        <v>0</v>
      </c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</row>
    <row r="55" ht="15" customHeight="1">
      <c r="A55" s="219"/>
      <c r="B55" t="s" s="218">
        <v>73</v>
      </c>
      <c r="C55" t="s" s="218">
        <v>79</v>
      </c>
      <c r="D55" s="236">
        <f>('Ränge2'!V41='Ränge2'!V43)*1</f>
        <v>0</v>
      </c>
      <c r="E55" s="236">
        <f>(3*'Ränge2'!C43+'Ränge2'!F43)-(3*'Ränge2'!C41+'Ränge2'!F41)</f>
        <v>3</v>
      </c>
      <c r="F55" s="236">
        <f>('Ränge2'!AB41='Ränge2'!AB43)*1</f>
        <v>0</v>
      </c>
      <c r="G55" s="236">
        <f>'Tabelle'!M68-'Tabelle'!O68</f>
        <v>3</v>
      </c>
      <c r="H55" s="236">
        <f>('Ränge2'!AH41='Ränge2'!AH43)*1</f>
        <v>0</v>
      </c>
      <c r="I55" s="236">
        <f>'Tabelle'!M68</f>
        <v>3</v>
      </c>
      <c r="J55" s="236">
        <f>'Tabelle'!O68</f>
        <v>0</v>
      </c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</row>
    <row r="56" ht="15" customHeight="1">
      <c r="A56" s="219"/>
      <c r="B56" t="s" s="218">
        <v>73</v>
      </c>
      <c r="C56" t="s" s="218">
        <v>75</v>
      </c>
      <c r="D56" s="236">
        <f>('Ränge2'!V43='Ränge2'!V40)*1</f>
        <v>0</v>
      </c>
      <c r="E56" s="236">
        <f>(3*'Ränge2'!D43+'Ränge2'!G43)-(3*'Ränge2'!D40+'Ränge2'!G40)</f>
        <v>3</v>
      </c>
      <c r="F56" s="236">
        <f>('Ränge2'!AB43='Ränge2'!AB40)*1</f>
        <v>0</v>
      </c>
      <c r="G56" s="236">
        <f>'Tabelle'!M69-'Tabelle'!O69</f>
        <v>1</v>
      </c>
      <c r="H56" s="236">
        <f>('Ränge2'!AH43='Ränge2'!AH40)*1</f>
        <v>0</v>
      </c>
      <c r="I56" s="236">
        <f>'Tabelle'!M69</f>
        <v>2</v>
      </c>
      <c r="J56" s="236">
        <f>'Tabelle'!O69</f>
        <v>1</v>
      </c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</row>
    <row r="57" ht="15" customHeight="1">
      <c r="A57" s="219"/>
      <c r="B57" t="s" s="218">
        <v>79</v>
      </c>
      <c r="C57" t="s" s="218">
        <v>77</v>
      </c>
      <c r="D57" s="236">
        <f>('Ränge2'!V41='Ränge2'!V42)*1</f>
        <v>0</v>
      </c>
      <c r="E57" s="236">
        <f>(3*'Ränge2'!D41+'Ränge2'!G41)-(3*'Ränge2'!D42+'Ränge2'!G42)</f>
        <v>0</v>
      </c>
      <c r="F57" s="236">
        <f>('Ränge2'!AB41='Ränge2'!AB42)*1</f>
        <v>0</v>
      </c>
      <c r="G57" s="236">
        <f>'Tabelle'!M70-'Tabelle'!O70</f>
        <v>0</v>
      </c>
      <c r="H57" s="236">
        <f>('Ränge2'!AH41='Ränge2'!AH42)*1</f>
        <v>0</v>
      </c>
      <c r="I57" s="236">
        <f>'Tabelle'!M70</f>
        <v>1</v>
      </c>
      <c r="J57" s="236">
        <f>'Tabelle'!O70</f>
        <v>1</v>
      </c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</row>
    <row r="58" ht="15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</row>
    <row r="59" ht="15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</row>
    <row r="60" ht="15" customHeight="1">
      <c r="A60" s="219"/>
      <c r="B60" t="s" s="218">
        <v>78</v>
      </c>
      <c r="C60" t="s" s="218">
        <v>76</v>
      </c>
      <c r="D60" s="236">
        <f>('Ränge2'!V48='Ränge2'!V49)*1</f>
        <v>0</v>
      </c>
      <c r="E60" s="236">
        <f>(3*'Ränge2'!B48+'Ränge2'!E48)-(3*'Ränge2'!B49+'Ränge2'!E49)</f>
        <v>0</v>
      </c>
      <c r="F60" s="236">
        <f>('Ränge2'!AB48='Ränge2'!AB49)*1</f>
        <v>0</v>
      </c>
      <c r="G60" s="236">
        <f>'Tabelle'!AD65-'Tabelle'!AF65</f>
        <v>0</v>
      </c>
      <c r="H60" s="236">
        <f>('Ränge2'!AH48='Ränge2'!AH49)*1</f>
        <v>0</v>
      </c>
      <c r="I60" s="236">
        <f>'Tabelle'!AD65</f>
        <v>2</v>
      </c>
      <c r="J60" s="236">
        <f>'Tabelle'!AF65</f>
        <v>2</v>
      </c>
      <c r="K60" t="s" s="218">
        <v>139</v>
      </c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</row>
    <row r="61" ht="15" customHeight="1">
      <c r="A61" s="219"/>
      <c r="B61" t="s" s="218">
        <v>74</v>
      </c>
      <c r="C61" t="s" s="218">
        <v>80</v>
      </c>
      <c r="D61" s="236">
        <f>('Ränge2'!V46='Ränge2'!V47)*1</f>
        <v>0</v>
      </c>
      <c r="E61" s="236">
        <f>(2*'Ränge2'!B46+'Ränge2'!E46)-(3*'Ränge2'!B47+'Ränge2'!E47)</f>
        <v>2</v>
      </c>
      <c r="F61" s="236">
        <f>('Ränge2'!AB46='Ränge2'!AB47)*1</f>
        <v>0</v>
      </c>
      <c r="G61" s="236">
        <f>'Tabelle'!AD66-'Tabelle'!AF66</f>
        <v>2</v>
      </c>
      <c r="H61" s="236">
        <f>('Ränge2'!AH46='Ränge2'!AH47)*1</f>
        <v>0</v>
      </c>
      <c r="I61" s="236">
        <f>'Tabelle'!AD66</f>
        <v>3</v>
      </c>
      <c r="J61" s="236">
        <f>'Tabelle'!AF66</f>
        <v>1</v>
      </c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</row>
    <row r="62" ht="15" customHeight="1">
      <c r="A62" s="219"/>
      <c r="B62" t="s" s="218">
        <v>76</v>
      </c>
      <c r="C62" t="s" s="218">
        <v>80</v>
      </c>
      <c r="D62" s="236">
        <f>('Ränge2'!V47='Ränge2'!V49)*1</f>
        <v>0</v>
      </c>
      <c r="E62" s="236">
        <f>(3*'Ränge2'!C49+'Ränge2'!F49)-(3*'Ränge2'!C47+'Ränge2'!F47)</f>
        <v>3</v>
      </c>
      <c r="F62" s="236">
        <f>('Ränge2'!AB47='Ränge2'!AB49)*1</f>
        <v>0</v>
      </c>
      <c r="G62" s="236">
        <f>'Tabelle'!AD67-'Tabelle'!AF67</f>
        <v>2</v>
      </c>
      <c r="H62" s="236">
        <f>('Ränge2'!AH47='Ränge2'!AH49)*1</f>
        <v>0</v>
      </c>
      <c r="I62" s="236">
        <f>'Tabelle'!AD67</f>
        <v>2</v>
      </c>
      <c r="J62" s="236">
        <f>'Tabelle'!AF67</f>
        <v>0</v>
      </c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</row>
    <row r="63" ht="15" customHeight="1">
      <c r="A63" s="219"/>
      <c r="B63" t="s" s="218">
        <v>74</v>
      </c>
      <c r="C63" t="s" s="218">
        <v>78</v>
      </c>
      <c r="D63" s="236">
        <f>('Ränge2'!V46='Ränge2'!V48)*1</f>
        <v>0</v>
      </c>
      <c r="E63" s="236">
        <f>(3*'Ränge2'!C46+'Ränge2'!F46)-(3*'Ränge2'!C48+'Ränge2'!F48)</f>
        <v>3</v>
      </c>
      <c r="F63" s="236">
        <f>('Ränge2'!AB46='Ränge2'!AB48)*1</f>
        <v>0</v>
      </c>
      <c r="G63" s="236">
        <f>'Tabelle'!AD68-'Tabelle'!AF68</f>
        <v>1</v>
      </c>
      <c r="H63" s="236">
        <f>('Ränge2'!AH46='Ränge2'!AH48)*1</f>
        <v>0</v>
      </c>
      <c r="I63" s="236">
        <f>'Tabelle'!AD68</f>
        <v>2</v>
      </c>
      <c r="J63" s="236">
        <f>'Tabelle'!AF68</f>
        <v>1</v>
      </c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</row>
    <row r="64" ht="15" customHeight="1">
      <c r="A64" s="219"/>
      <c r="B64" t="s" s="218">
        <v>76</v>
      </c>
      <c r="C64" t="s" s="218">
        <v>74</v>
      </c>
      <c r="D64" s="236">
        <f>('Ränge2'!V49='Ränge2'!V46)*1</f>
        <v>0</v>
      </c>
      <c r="E64" s="236">
        <f>(3*'Ränge2'!D49+'Ränge2'!G49)-(3*'Ränge2'!D46+'Ränge2'!G46)</f>
        <v>0</v>
      </c>
      <c r="F64" s="236">
        <f>('Ränge2'!AB49='Ränge2'!AB46)*1</f>
        <v>0</v>
      </c>
      <c r="G64" s="236">
        <f>'Tabelle'!AD69-'Tabelle'!AF69</f>
        <v>0</v>
      </c>
      <c r="H64" s="236">
        <f>('Ränge2'!AH49='Ränge2'!AH46)*1</f>
        <v>0</v>
      </c>
      <c r="I64" s="236">
        <f>'Tabelle'!AD69</f>
        <v>1</v>
      </c>
      <c r="J64" s="236">
        <f>'Tabelle'!AF69</f>
        <v>1</v>
      </c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</row>
    <row r="65" ht="15" customHeight="1">
      <c r="A65" s="219"/>
      <c r="B65" t="s" s="218">
        <v>80</v>
      </c>
      <c r="C65" t="s" s="218">
        <v>78</v>
      </c>
      <c r="D65" s="236">
        <f>('Ränge2'!V47='Ränge2'!V48)*1</f>
        <v>0</v>
      </c>
      <c r="E65" s="236">
        <f>(3*'Ränge2'!D47+'Ränge2'!G47)-(3*'Ränge2'!D48+'Ränge2'!G48)</f>
        <v>-3</v>
      </c>
      <c r="F65" s="236">
        <f>('Ränge2'!AB47='Ränge2'!AB48)*1</f>
        <v>0</v>
      </c>
      <c r="G65" s="236">
        <f>'Tabelle'!AD70-'Tabelle'!AF70</f>
        <v>-1</v>
      </c>
      <c r="H65" s="236">
        <f>('Ränge2'!AH47='Ränge2'!AH48)*1</f>
        <v>0</v>
      </c>
      <c r="I65" s="236">
        <f>'Tabelle'!AD70</f>
        <v>1</v>
      </c>
      <c r="J65" s="236">
        <f>'Tabelle'!AF70</f>
        <v>2</v>
      </c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AP49"/>
  <sheetViews>
    <sheetView workbookViewId="0" showGridLines="0" defaultGridColor="1"/>
  </sheetViews>
  <sheetFormatPr defaultColWidth="11.5" defaultRowHeight="15" customHeight="1" outlineLevelRow="0" outlineLevelCol="0"/>
  <cols>
    <col min="1" max="1" width="15.5" style="240" customWidth="1"/>
    <col min="2" max="2" width="2.35156" style="240" customWidth="1"/>
    <col min="3" max="3" width="2.5" style="240" customWidth="1"/>
    <col min="4" max="4" width="2.5" style="240" customWidth="1"/>
    <col min="5" max="5" width="2.5" style="240" customWidth="1"/>
    <col min="6" max="6" width="2.5" style="240" customWidth="1"/>
    <col min="7" max="7" width="2.35156" style="240" customWidth="1"/>
    <col min="8" max="8" width="11.5" style="240" customWidth="1"/>
    <col min="9" max="9" width="11.5" style="240" customWidth="1"/>
    <col min="10" max="10" width="11.5" style="240" customWidth="1"/>
    <col min="11" max="11" width="6.85156" style="240" customWidth="1"/>
    <col min="12" max="12" width="9.5" style="240" customWidth="1"/>
    <col min="13" max="13" width="9" style="240" customWidth="1"/>
    <col min="14" max="14" width="11.5" style="240" customWidth="1"/>
    <col min="15" max="15" width="11.5" style="240" customWidth="1"/>
    <col min="16" max="16" width="11.5" style="240" customWidth="1"/>
    <col min="17" max="17" width="6.5" style="240" customWidth="1"/>
    <col min="18" max="18" width="11.5" style="240" customWidth="1"/>
    <col min="19" max="19" width="11.5" style="240" customWidth="1"/>
    <col min="20" max="20" width="11.5" style="240" customWidth="1"/>
    <col min="21" max="21" width="11.5" style="240" customWidth="1"/>
    <col min="22" max="22" width="11.5" style="240" customWidth="1"/>
    <col min="23" max="23" width="11.5" style="240" customWidth="1"/>
    <col min="24" max="24" width="11.5" style="240" customWidth="1"/>
    <col min="25" max="25" width="11.5" style="240" customWidth="1"/>
    <col min="26" max="26" width="11.5" style="240" customWidth="1"/>
    <col min="27" max="27" width="11.5" style="240" customWidth="1"/>
    <col min="28" max="28" width="11.5" style="240" customWidth="1"/>
    <col min="29" max="29" width="11.5" style="240" customWidth="1"/>
    <col min="30" max="30" width="11.5" style="240" customWidth="1"/>
    <col min="31" max="31" width="11.5" style="240" customWidth="1"/>
    <col min="32" max="32" width="11.5" style="240" customWidth="1"/>
    <col min="33" max="33" width="11.5" style="240" customWidth="1"/>
    <col min="34" max="34" width="11.5" style="240" customWidth="1"/>
    <col min="35" max="35" width="11.5" style="240" customWidth="1"/>
    <col min="36" max="36" width="11.5" style="240" customWidth="1"/>
    <col min="37" max="37" width="11.5" style="240" customWidth="1"/>
    <col min="38" max="38" width="11.5" style="240" customWidth="1"/>
    <col min="39" max="39" width="11.5" style="240" customWidth="1"/>
    <col min="40" max="40" width="11.5" style="240" customWidth="1"/>
    <col min="41" max="41" width="11.5" style="240" customWidth="1"/>
    <col min="42" max="42" width="11.5" style="240" customWidth="1"/>
    <col min="43" max="256" width="11.5" style="240" customWidth="1"/>
  </cols>
  <sheetData>
    <row r="1" ht="15" customHeight="1">
      <c r="A1" s="241"/>
      <c r="B1" s="242"/>
      <c r="C1" s="242"/>
      <c r="D1" s="242"/>
      <c r="E1" s="242"/>
      <c r="F1" s="242"/>
      <c r="G1" s="243"/>
      <c r="H1" s="244"/>
      <c r="I1" s="219"/>
      <c r="J1" s="219"/>
      <c r="K1" s="219"/>
      <c r="L1" s="236">
        <v>2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</row>
    <row r="2" ht="15" customHeight="1">
      <c r="A2" s="244"/>
      <c r="B2" t="s" s="245">
        <v>154</v>
      </c>
      <c r="C2" s="246"/>
      <c r="D2" s="246"/>
      <c r="E2" t="s" s="218">
        <v>155</v>
      </c>
      <c r="F2" s="219"/>
      <c r="G2" s="247"/>
      <c r="H2" s="248"/>
      <c r="I2" s="249"/>
      <c r="J2" s="219"/>
      <c r="K2" t="s" s="218">
        <v>156</v>
      </c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</row>
    <row r="3" ht="15" customHeight="1">
      <c r="A3" t="s" s="250">
        <v>157</v>
      </c>
      <c r="B3" t="s" s="251">
        <v>158</v>
      </c>
      <c r="C3" t="s" s="251">
        <v>159</v>
      </c>
      <c r="D3" t="s" s="251">
        <v>160</v>
      </c>
      <c r="E3" t="s" s="251">
        <v>158</v>
      </c>
      <c r="F3" t="s" s="251">
        <v>159</v>
      </c>
      <c r="G3" t="s" s="252">
        <v>160</v>
      </c>
      <c r="H3" s="248"/>
      <c r="I3" t="s" s="253">
        <v>157</v>
      </c>
      <c r="J3" t="s" s="254">
        <v>161</v>
      </c>
      <c r="K3" t="s" s="218">
        <v>162</v>
      </c>
      <c r="L3" t="s" s="218">
        <v>163</v>
      </c>
      <c r="M3" t="s" s="218">
        <v>164</v>
      </c>
      <c r="N3" t="s" s="218">
        <v>165</v>
      </c>
      <c r="O3" t="s" s="218">
        <v>166</v>
      </c>
      <c r="P3" t="s" s="254">
        <v>167</v>
      </c>
      <c r="Q3" t="s" s="218">
        <v>168</v>
      </c>
      <c r="R3" t="s" s="218">
        <v>169</v>
      </c>
      <c r="S3" t="s" s="218">
        <v>170</v>
      </c>
      <c r="T3" t="s" s="218">
        <v>171</v>
      </c>
      <c r="U3" t="s" s="218">
        <v>172</v>
      </c>
      <c r="V3" t="s" s="254">
        <v>173</v>
      </c>
      <c r="W3" t="s" s="218">
        <v>174</v>
      </c>
      <c r="X3" t="s" s="218">
        <v>175</v>
      </c>
      <c r="Y3" t="s" s="218">
        <v>176</v>
      </c>
      <c r="Z3" t="s" s="218">
        <v>177</v>
      </c>
      <c r="AA3" t="s" s="218">
        <v>178</v>
      </c>
      <c r="AB3" t="s" s="254">
        <v>179</v>
      </c>
      <c r="AC3" t="s" s="218">
        <v>180</v>
      </c>
      <c r="AD3" t="s" s="218">
        <v>181</v>
      </c>
      <c r="AE3" t="s" s="218">
        <v>182</v>
      </c>
      <c r="AF3" t="s" s="218">
        <v>183</v>
      </c>
      <c r="AG3" t="s" s="218">
        <v>184</v>
      </c>
      <c r="AH3" t="s" s="254">
        <v>185</v>
      </c>
      <c r="AI3" t="s" s="218">
        <v>186</v>
      </c>
      <c r="AJ3" t="s" s="218">
        <v>187</v>
      </c>
      <c r="AK3" t="s" s="218">
        <v>188</v>
      </c>
      <c r="AL3" t="s" s="218">
        <v>189</v>
      </c>
      <c r="AM3" t="s" s="218">
        <v>190</v>
      </c>
      <c r="AN3" t="s" s="254">
        <v>191</v>
      </c>
      <c r="AO3" t="s" s="254">
        <v>192</v>
      </c>
      <c r="AP3" s="219"/>
    </row>
    <row r="4" ht="15" customHeight="1">
      <c r="A4" t="s" s="250">
        <v>193</v>
      </c>
      <c r="B4" s="236">
        <f>IF('Tabelle'!M14&gt;'Tabelle'!O14,1,0)</f>
        <v>1</v>
      </c>
      <c r="C4" s="236">
        <f>IF('Tabelle'!M16&gt;'Tabelle'!O16,1,0)</f>
        <v>0</v>
      </c>
      <c r="D4" s="236">
        <f>IF('Tabelle'!M18&lt;'Tabelle'!O18,1,0)</f>
        <v>0</v>
      </c>
      <c r="E4" s="236">
        <f>IF(AND('Tabelle'!M14='Tabelle'!O14,'Tabelle'!M14&lt;&gt;""),1,0)</f>
        <v>0</v>
      </c>
      <c r="F4" s="236">
        <f>IF(AND('Tabelle'!M16='Tabelle'!O16,'Tabelle'!M16&lt;&gt;""),1,0)</f>
        <v>1</v>
      </c>
      <c r="G4" s="255">
        <f>IF(AND('Tabelle'!M18='Tabelle'!O18,'Tabelle'!M18&lt;&gt;""),1,0)</f>
        <v>1</v>
      </c>
      <c r="H4" s="248"/>
      <c r="I4" t="s" s="256">
        <v>30</v>
      </c>
      <c r="J4" s="257">
        <f>RANK('Gruppen'!K6,'Gruppen'!K$6:K$9,0)</f>
        <v>2</v>
      </c>
      <c r="K4" t="s" s="258">
        <f>IF(COUNTIF(J$4:J$7,J4)=1,"",1)</f>
      </c>
      <c r="L4" t="s" s="218">
        <f>IF(K4=1,'Ränge1'!M4,"")</f>
      </c>
      <c r="M4" t="s" s="218">
        <f>IF(K4=2,'Ränge1'!M4,"")</f>
      </c>
      <c r="N4" s="236">
        <f>IF(K4=1,RANK(L4,L$4:L$7),0)</f>
        <v>0</v>
      </c>
      <c r="O4" s="259">
        <f>IF(K4=2,RANK(M4,M$4:M$7),0)</f>
        <v>0</v>
      </c>
      <c r="P4" s="257">
        <f>IF(K4&lt;&gt;"",J4+N4+O4-1,J4)</f>
        <v>2</v>
      </c>
      <c r="Q4" t="s" s="258">
        <f>IF(COUNTIF(P$4:P$7,P4)=1,"",1)</f>
      </c>
      <c r="R4" t="s" s="218">
        <f>IF(Q4=1,'Ränge1'!N4,"")</f>
      </c>
      <c r="S4" t="s" s="218">
        <f>IF(Q4=2,'Ränge1'!N4,"")</f>
      </c>
      <c r="T4" s="236">
        <f>IF($Q4=1,RANK(R4,R$4:R$7),0)</f>
        <v>0</v>
      </c>
      <c r="U4" s="259">
        <f>IF($Q4=2,RANK(S4,S$4:S$7),0)</f>
        <v>0</v>
      </c>
      <c r="V4" s="257">
        <f>IF(Q4&lt;&gt;"",P4+T4+U4-1,P4)</f>
        <v>2</v>
      </c>
      <c r="W4" t="s" s="258">
        <f>IF(COUNTIF(V$4:V$7,V4)=1,"",1)</f>
      </c>
      <c r="X4" t="s" s="218">
        <f>IF(W4=1,'Ränge1'!O4,"")</f>
      </c>
      <c r="Y4" t="s" s="218">
        <f>IF(W4=2,'Ränge1'!O4,"")</f>
      </c>
      <c r="Z4" s="236">
        <f>IF($W4=1,RANK(X4,X$4:X$7),0)</f>
        <v>0</v>
      </c>
      <c r="AA4" s="259">
        <f>IF($W4=2,RANK(Y4,Y$4:Y$7),0)</f>
        <v>0</v>
      </c>
      <c r="AB4" s="257">
        <f>IF(W4&lt;&gt;"",V4+Z4+AA4-1,V4)</f>
        <v>2</v>
      </c>
      <c r="AC4" t="s" s="258">
        <f>IF(COUNTIF(AB$4:AB$7,AB4)=1,"",1)</f>
      </c>
      <c r="AD4" t="s" s="218">
        <f>IF(AC4=1,'Ränge1'!P4,"")</f>
      </c>
      <c r="AE4" t="s" s="218">
        <f>IF(AC4=2,'Ränge1'!P4,"")</f>
      </c>
      <c r="AF4" s="236">
        <f>IF($AC4=1,RANK(AD4,AD$4:AD$7),0)</f>
        <v>0</v>
      </c>
      <c r="AG4" s="259">
        <f>IF($AC4=2,RANK(AE4,AE$4:AE$7),0)</f>
        <v>0</v>
      </c>
      <c r="AH4" s="257">
        <f>IF(AC4&lt;&gt;"",AB4+AF4+AG4-1,AB4)</f>
        <v>2</v>
      </c>
      <c r="AI4" t="s" s="258">
        <f>IF(COUNTIF(AH$4:AH$7,AH4)=1,"",1)</f>
      </c>
      <c r="AJ4" t="s" s="218">
        <f>IF($AI4=1,'Ränge1'!Q4,"")</f>
      </c>
      <c r="AK4" t="s" s="218">
        <f>IF($AI4=2,'Ränge1'!Q4,"")</f>
      </c>
      <c r="AL4" s="236">
        <f>IF($AI4=1,RANK(AJ4,AJ$4:AJ$7),0)</f>
        <v>0</v>
      </c>
      <c r="AM4" s="259">
        <f>IF($AI4=2,RANK(AK4,AK$4:AK$7),0)</f>
        <v>0</v>
      </c>
      <c r="AN4" s="257">
        <f>IF(AI4&lt;&gt;"",AH4+AL4+AM4-1,AH4)</f>
        <v>2</v>
      </c>
      <c r="AO4" s="260">
        <f>AN4</f>
        <v>2</v>
      </c>
      <c r="AP4" t="s" s="258">
        <v>30</v>
      </c>
    </row>
    <row r="5" ht="15" customHeight="1">
      <c r="A5" t="s" s="250">
        <v>194</v>
      </c>
      <c r="B5" s="236">
        <f>IF('Tabelle'!M14&lt;'Tabelle'!O14,1,0)</f>
        <v>0</v>
      </c>
      <c r="C5" s="236">
        <f>IF('Tabelle'!M17&lt;'Tabelle'!O17,1,0)</f>
        <v>0</v>
      </c>
      <c r="D5" s="236">
        <f>IF('Tabelle'!M19&gt;'Tabelle'!O19,1,0)</f>
        <v>0</v>
      </c>
      <c r="E5" s="236">
        <f>IF(AND('Tabelle'!M14='Tabelle'!O14,'Tabelle'!M14&lt;&gt;""),1,0)</f>
        <v>0</v>
      </c>
      <c r="F5" s="236">
        <f>IF(AND('Tabelle'!M17='Tabelle'!O17,'Tabelle'!M17&lt;&gt;""),1,0)</f>
        <v>0</v>
      </c>
      <c r="G5" s="255">
        <f>IF(AND('Tabelle'!M19='Tabelle'!O19,'Tabelle'!M19&lt;&gt;""),1,0)</f>
        <v>0</v>
      </c>
      <c r="H5" s="248"/>
      <c r="I5" t="s" s="256">
        <v>31</v>
      </c>
      <c r="J5" s="257">
        <f>RANK('Gruppen'!K7,'Gruppen'!K$6:K$9,0)</f>
        <v>4</v>
      </c>
      <c r="K5" t="s" s="258">
        <f>IF(COUNTIF(J$4:J$7,J5)=1,"",IF(AND(COUNT(K$4)&gt;0,J$4&lt;&gt;J5),2,1))</f>
      </c>
      <c r="L5" t="s" s="218">
        <f>IF(K5=1,'Ränge1'!M5,"")</f>
      </c>
      <c r="M5" t="s" s="218">
        <f>IF(K5=2,'Ränge1'!M5,"")</f>
      </c>
      <c r="N5" s="236">
        <f>IF(K5=1,RANK(L5,L$4:L$7),0)</f>
        <v>0</v>
      </c>
      <c r="O5" s="259">
        <f>IF(K5=2,RANK(M5,M$4:M$7),0)</f>
        <v>0</v>
      </c>
      <c r="P5" s="257">
        <f>IF(K5&lt;&gt;"",J5+N5+O5-1,J5)</f>
        <v>4</v>
      </c>
      <c r="Q5" t="s" s="258">
        <f>IF(COUNTIF(P$4:P$7,P5)=1,"",IF(AND(COUNT(Q$4)&gt;0,P$4&lt;&gt;P5),2,1))</f>
      </c>
      <c r="R5" t="s" s="218">
        <f>IF(Q5=1,'Ränge1'!N5,"")</f>
      </c>
      <c r="S5" t="s" s="218">
        <f>IF(Q5=2,'Ränge1'!N5,"")</f>
      </c>
      <c r="T5" s="236">
        <f>IF($Q5=1,RANK(R5,R$4:R$7),0)</f>
        <v>0</v>
      </c>
      <c r="U5" s="259">
        <f>IF($Q5=2,RANK(S5,S$4:S$7),0)</f>
        <v>0</v>
      </c>
      <c r="V5" s="257">
        <f>IF(Q5&lt;&gt;"",P5+T5+U5-1,P5)</f>
        <v>4</v>
      </c>
      <c r="W5" t="s" s="258">
        <f>IF(COUNTIF(V$4:V$7,V5)=1,"",IF(AND(COUNT(W$4)&gt;0,V$4&lt;&gt;V5),2,1))</f>
      </c>
      <c r="X5" t="s" s="218">
        <f>IF(W5=1,'Ränge1'!O5,"")</f>
      </c>
      <c r="Y5" t="s" s="218">
        <f>IF(W5=2,'Ränge1'!O5,"")</f>
      </c>
      <c r="Z5" s="236">
        <f>IF($W5=1,RANK(X5,X$4:X$7),0)</f>
        <v>0</v>
      </c>
      <c r="AA5" s="259">
        <f>IF($W5=2,RANK(Y5,Y$4:Y$7),0)</f>
        <v>0</v>
      </c>
      <c r="AB5" s="257">
        <f>IF(W5&lt;&gt;"",V5+Z5+AA5-1,V5)</f>
        <v>4</v>
      </c>
      <c r="AC5" t="s" s="258">
        <f>IF(COUNTIF(AB$4:AB$7,AB5)=1,"",IF(AND(COUNT(AC$4)&gt;0,AB$4&lt;&gt;AB5),2,1))</f>
      </c>
      <c r="AD5" t="s" s="218">
        <f>IF(AC5=1,'Ränge1'!P5,"")</f>
      </c>
      <c r="AE5" t="s" s="218">
        <f>IF(AC5=2,'Ränge1'!P5,"")</f>
      </c>
      <c r="AF5" s="236">
        <f>IF($AC5=1,RANK(AD5,AD$4:AD$7),0)</f>
        <v>0</v>
      </c>
      <c r="AG5" s="259">
        <f>IF($AC5=2,RANK(AE5,AE$4:AE$7),0)</f>
        <v>0</v>
      </c>
      <c r="AH5" s="257">
        <f>IF(AC5&lt;&gt;"",AB5+AF5+AG5-1,AB5)</f>
        <v>4</v>
      </c>
      <c r="AI5" t="s" s="258">
        <f>IF(COUNTIF(AH$4:AH$7,AH5)=1,"",IF(AND(COUNT(AI$4)&gt;0,AH$4&lt;&gt;AH5),2,1))</f>
      </c>
      <c r="AJ5" t="s" s="218">
        <f>IF($AI5=1,'Ränge1'!Q5,"")</f>
      </c>
      <c r="AK5" t="s" s="218">
        <f>IF($AI5=2,'Ränge1'!Q5,"")</f>
      </c>
      <c r="AL5" s="236">
        <f>IF($AI5=1,RANK(AJ5,AJ$4:AJ$7),0)</f>
        <v>0</v>
      </c>
      <c r="AM5" s="259">
        <f>IF($AI5=2,RANK(AK5,AK$4:AK$7),0)</f>
        <v>0</v>
      </c>
      <c r="AN5" s="257">
        <f>IF(AI5&lt;&gt;"",AH5+AL5+AM5-1,AH5)</f>
        <v>4</v>
      </c>
      <c r="AO5" s="260">
        <f>AN5</f>
        <v>4</v>
      </c>
      <c r="AP5" t="s" s="258">
        <v>31</v>
      </c>
    </row>
    <row r="6" ht="15" customHeight="1">
      <c r="A6" t="s" s="250">
        <v>195</v>
      </c>
      <c r="B6" s="236">
        <f>IF('Tabelle'!M15&gt;'Tabelle'!O15,1,0)</f>
        <v>0</v>
      </c>
      <c r="C6" s="236">
        <f>IF('Tabelle'!M16&lt;'Tabelle'!O16,1,0)</f>
        <v>0</v>
      </c>
      <c r="D6" s="236">
        <f>IF('Tabelle'!M19&lt;'Tabelle'!O19,1,0)</f>
        <v>1</v>
      </c>
      <c r="E6" s="236">
        <f>IF(AND('Tabelle'!M15='Tabelle'!O15,'Tabelle'!M15&lt;&gt;""),1,0)</f>
        <v>0</v>
      </c>
      <c r="F6" s="236">
        <f>IF(AND('Tabelle'!M16='Tabelle'!O16,'Tabelle'!M16&lt;&gt;""),1,0)</f>
        <v>1</v>
      </c>
      <c r="G6" s="255">
        <f>IF(AND('Tabelle'!M19='Tabelle'!O19,'Tabelle'!M19&lt;&gt;""),1,0)</f>
        <v>0</v>
      </c>
      <c r="H6" s="248"/>
      <c r="I6" t="s" s="256">
        <v>33</v>
      </c>
      <c r="J6" s="257">
        <f>RANK('Gruppen'!K8,'Gruppen'!K$6:K$9,0)</f>
        <v>3</v>
      </c>
      <c r="K6" t="s" s="258">
        <f>IF(COUNTIF(J$4:J$7,J6)=1,"",IF(AND(COUNT(K$4)&gt;0,J$4&lt;&gt;J6),2,1))</f>
      </c>
      <c r="L6" t="s" s="218">
        <f>IF(K6=1,'Ränge1'!M6,"")</f>
      </c>
      <c r="M6" t="s" s="218">
        <f>IF(K6=2,'Ränge1'!M6,"")</f>
      </c>
      <c r="N6" s="236">
        <f>IF(K6=1,RANK(L6,L$4:L$7),0)</f>
        <v>0</v>
      </c>
      <c r="O6" s="259">
        <f>IF(K6=2,RANK(M6,M$4:M$7),0)</f>
        <v>0</v>
      </c>
      <c r="P6" s="257">
        <f>IF(K6&lt;&gt;"",J6+N6+O6-1,J6)</f>
        <v>3</v>
      </c>
      <c r="Q6" t="s" s="258">
        <f>IF(COUNTIF(P$4:P$7,P6)=1,"",IF(AND(COUNT(Q$4)&gt;0,P$4&lt;&gt;P6),2,1))</f>
      </c>
      <c r="R6" t="s" s="218">
        <f>IF(Q6=1,'Ränge1'!N6,"")</f>
      </c>
      <c r="S6" t="s" s="218">
        <f>IF(Q6=2,'Ränge1'!N6,"")</f>
      </c>
      <c r="T6" s="236">
        <f>IF($Q6=1,RANK(R6,R$4:R$7),0)</f>
        <v>0</v>
      </c>
      <c r="U6" s="259">
        <f>IF($Q6=2,RANK(S6,S$4:S$7),0)</f>
        <v>0</v>
      </c>
      <c r="V6" s="257">
        <f>IF(Q6&lt;&gt;"",P6+T6+U6-1,P6)</f>
        <v>3</v>
      </c>
      <c r="W6" t="s" s="258">
        <f>IF(COUNTIF(V$4:V$7,V6)=1,"",IF(AND(COUNT(W$4)&gt;0,V$4&lt;&gt;V6),2,1))</f>
      </c>
      <c r="X6" t="s" s="218">
        <f>IF(W6=1,'Ränge1'!O6,"")</f>
      </c>
      <c r="Y6" t="s" s="218">
        <f>IF(W6=2,'Ränge1'!O6,"")</f>
      </c>
      <c r="Z6" s="236">
        <f>IF($W6=1,RANK(X6,X$4:X$7),0)</f>
        <v>0</v>
      </c>
      <c r="AA6" s="259">
        <f>IF($W6=2,RANK(Y6,Y$4:Y$7),0)</f>
        <v>0</v>
      </c>
      <c r="AB6" s="257">
        <f>IF(W6&lt;&gt;"",V6+Z6+AA6-1,V6)</f>
        <v>3</v>
      </c>
      <c r="AC6" t="s" s="258">
        <f>IF(COUNTIF(AB$4:AB$7,AB6)=1,"",IF(AND(COUNT(AC$4)&gt;0,AB$4&lt;&gt;AB6),2,1))</f>
      </c>
      <c r="AD6" t="s" s="218">
        <f>IF(AC6=1,'Ränge1'!P6,"")</f>
      </c>
      <c r="AE6" t="s" s="218">
        <f>IF(AC6=2,'Ränge1'!P6,"")</f>
      </c>
      <c r="AF6" s="236">
        <f>IF($AC6=1,RANK(AD6,AD$4:AD$7),0)</f>
        <v>0</v>
      </c>
      <c r="AG6" s="259">
        <f>IF($AC6=2,RANK(AE6,AE$4:AE$7),0)</f>
        <v>0</v>
      </c>
      <c r="AH6" s="257">
        <f>IF(AC6&lt;&gt;"",AB6+AF6+AG6-1,AB6)</f>
        <v>3</v>
      </c>
      <c r="AI6" t="s" s="258">
        <f>IF(COUNTIF(AH$4:AH$7,AH6)=1,"",IF(AND(COUNT(AI$4)&gt;0,AH$4&lt;&gt;AH6),2,1))</f>
      </c>
      <c r="AJ6" t="s" s="218">
        <f>IF($AI6=1,'Ränge1'!Q6,"")</f>
      </c>
      <c r="AK6" t="s" s="218">
        <f>IF($AI6=2,'Ränge1'!Q6,"")</f>
      </c>
      <c r="AL6" s="236">
        <f>IF($AI6=1,RANK(AJ6,AJ$4:AJ$7),0)</f>
        <v>0</v>
      </c>
      <c r="AM6" s="259">
        <f>IF($AI6=2,RANK(AK6,AK$4:AK$7),0)</f>
        <v>0</v>
      </c>
      <c r="AN6" s="257">
        <f>IF(AI6&lt;&gt;"",AH6+AL6+AM6-1,AH6)</f>
        <v>3</v>
      </c>
      <c r="AO6" s="260">
        <f>AN6</f>
        <v>3</v>
      </c>
      <c r="AP6" t="s" s="258">
        <v>33</v>
      </c>
    </row>
    <row r="7" ht="15" customHeight="1">
      <c r="A7" t="s" s="250">
        <v>196</v>
      </c>
      <c r="B7" s="236">
        <f>IF('Tabelle'!M15&lt;'Tabelle'!O15,1,0)</f>
        <v>1</v>
      </c>
      <c r="C7" s="236">
        <f>IF('Tabelle'!M17&gt;'Tabelle'!O17,1,0)</f>
        <v>1</v>
      </c>
      <c r="D7" s="236">
        <f>IF('Tabelle'!M18&gt;'Tabelle'!O18,1,0)</f>
        <v>0</v>
      </c>
      <c r="E7" s="236">
        <f>IF(AND('Tabelle'!M15='Tabelle'!O15,'Tabelle'!M15&lt;&gt;""),1,0)</f>
        <v>0</v>
      </c>
      <c r="F7" s="236">
        <f>IF(AND('Tabelle'!M17='Tabelle'!O17,'Tabelle'!M17&lt;&gt;""),1,0)</f>
        <v>0</v>
      </c>
      <c r="G7" s="255">
        <f>IF(AND('Tabelle'!M18='Tabelle'!O18,'Tabelle'!M18&lt;&gt;""),1,0)</f>
        <v>1</v>
      </c>
      <c r="H7" s="248"/>
      <c r="I7" t="s" s="256">
        <v>34</v>
      </c>
      <c r="J7" s="257">
        <f>RANK('Gruppen'!K9,'Gruppen'!K$6:K$9,0)</f>
        <v>1</v>
      </c>
      <c r="K7" t="s" s="258">
        <f>IF(COUNTIF(J$4:J$7,J7)=1,"",IF(AND(COUNT(K$4)&gt;0,J$4&lt;&gt;J7),2,1))</f>
      </c>
      <c r="L7" t="s" s="218">
        <f>IF(K7=1,'Ränge1'!M7,"")</f>
      </c>
      <c r="M7" t="s" s="218">
        <f>IF(K7=2,'Ränge1'!M7,"")</f>
      </c>
      <c r="N7" s="236">
        <f>IF(K7=1,RANK(L7,L$4:L$7),0)</f>
        <v>0</v>
      </c>
      <c r="O7" s="259">
        <f>IF(K7=2,RANK(M7,M$4:M$7),0)</f>
        <v>0</v>
      </c>
      <c r="P7" s="257">
        <f>IF(K7&lt;&gt;"",J7+N7+O7-1,J7)</f>
        <v>1</v>
      </c>
      <c r="Q7" t="s" s="258">
        <f>IF(COUNTIF(P$4:P$7,P7)=1,"",IF(AND(COUNT(Q$4)&gt;0,P$4&lt;&gt;P7),2,1))</f>
      </c>
      <c r="R7" t="s" s="218">
        <f>IF(Q7=1,'Ränge1'!N7,"")</f>
      </c>
      <c r="S7" t="s" s="218">
        <f>IF(Q7=2,'Ränge1'!N7,"")</f>
      </c>
      <c r="T7" s="236">
        <f>IF($Q7=1,RANK(R7,R$4:R$7),0)</f>
        <v>0</v>
      </c>
      <c r="U7" s="259">
        <f>IF($Q7=2,RANK(S7,S$4:S$7),0)</f>
        <v>0</v>
      </c>
      <c r="V7" s="257">
        <f>IF(Q7&lt;&gt;"",P7+T7+U7-1,P7)</f>
        <v>1</v>
      </c>
      <c r="W7" t="s" s="258">
        <f>IF(COUNTIF(V$4:V$7,V7)=1,"",IF(AND(COUNT(W$4)&gt;0,V$4&lt;&gt;V7),2,1))</f>
      </c>
      <c r="X7" t="s" s="218">
        <f>IF(W7=1,'Ränge1'!O7,"")</f>
      </c>
      <c r="Y7" t="s" s="218">
        <f>IF(W7=2,'Ränge1'!O7,"")</f>
      </c>
      <c r="Z7" s="236">
        <f>IF($W7=1,RANK(X7,X$4:X$7),0)</f>
        <v>0</v>
      </c>
      <c r="AA7" s="259">
        <f>IF($W7=2,RANK(Y7,Y$4:Y$7),0)</f>
        <v>0</v>
      </c>
      <c r="AB7" s="257">
        <f>IF(W7&lt;&gt;"",V7+Z7+AA7-1,V7)</f>
        <v>1</v>
      </c>
      <c r="AC7" t="s" s="258">
        <f>IF(COUNTIF(AB$4:AB$7,AB7)=1,"",IF(AND(COUNT(AC$4)&gt;0,AB$4&lt;&gt;AB7),2,1))</f>
      </c>
      <c r="AD7" t="s" s="218">
        <f>IF(AC7=1,'Ränge1'!P7,"")</f>
      </c>
      <c r="AE7" t="s" s="218">
        <f>IF(AC7=2,'Ränge1'!P7,"")</f>
      </c>
      <c r="AF7" s="236">
        <f>IF($AC7=1,RANK(AD7,AD$4:AD$7),0)</f>
        <v>0</v>
      </c>
      <c r="AG7" s="259">
        <f>IF($AC7=2,RANK(AE7,AE$4:AE$7),0)</f>
        <v>0</v>
      </c>
      <c r="AH7" s="261">
        <f>IF(AC7&lt;&gt;"",AB7+AF7+AG7-1,AB7)</f>
        <v>1</v>
      </c>
      <c r="AI7" t="s" s="262">
        <f>IF(COUNTIF(AH$4:AH$7,AH7)=1,"",IF(AND(COUNT(AI$4)&gt;0,AH$4&lt;&gt;AH7),2,1))</f>
      </c>
      <c r="AJ7" t="s" s="218">
        <f>IF($AI7=1,'Ränge1'!Q7,"")</f>
      </c>
      <c r="AK7" t="s" s="218">
        <f>IF($AI7=2,'Ränge1'!Q7,"")</f>
      </c>
      <c r="AL7" s="236">
        <f>IF($AI7=1,RANK(AJ7,AJ$4:AJ$7),0)</f>
        <v>0</v>
      </c>
      <c r="AM7" s="259">
        <f>IF($AI7=2,RANK(AK7,AK$4:AK$7),0)</f>
        <v>0</v>
      </c>
      <c r="AN7" s="257">
        <f>IF(AI7&lt;&gt;"",AH7+AL7+AM7-1,AH7)</f>
        <v>1</v>
      </c>
      <c r="AO7" s="263">
        <f>AN7</f>
        <v>1</v>
      </c>
      <c r="AP7" t="s" s="262">
        <v>34</v>
      </c>
    </row>
    <row r="8" ht="15" customHeight="1">
      <c r="A8" s="244"/>
      <c r="B8" s="219"/>
      <c r="C8" s="219"/>
      <c r="D8" s="219"/>
      <c r="E8" s="219"/>
      <c r="F8" s="219"/>
      <c r="G8" s="247"/>
      <c r="H8" s="248"/>
      <c r="I8" s="249"/>
      <c r="J8" s="264"/>
      <c r="K8" s="265"/>
      <c r="L8" s="265"/>
      <c r="M8" s="265"/>
      <c r="N8" s="265"/>
      <c r="O8" s="265"/>
      <c r="P8" s="266"/>
      <c r="Q8" s="265"/>
      <c r="R8" s="219"/>
      <c r="S8" s="219"/>
      <c r="T8" s="219"/>
      <c r="U8" s="219"/>
      <c r="V8" s="264"/>
      <c r="W8" s="219"/>
      <c r="X8" s="219"/>
      <c r="Y8" t="s" s="218">
        <f>IF(W8=2,'Ränge1'!O8,"")</f>
      </c>
      <c r="Z8" s="219"/>
      <c r="AA8" s="219"/>
      <c r="AB8" s="264"/>
      <c r="AC8" s="219"/>
      <c r="AD8" s="219"/>
      <c r="AE8" s="219"/>
      <c r="AF8" s="219"/>
      <c r="AG8" s="267"/>
      <c r="AH8" s="268"/>
      <c r="AI8" s="268"/>
      <c r="AJ8" s="269"/>
      <c r="AK8" s="219"/>
      <c r="AL8" s="219"/>
      <c r="AM8" s="219"/>
      <c r="AN8" s="270"/>
      <c r="AO8" s="268"/>
      <c r="AP8" s="268"/>
    </row>
    <row r="9" ht="15" customHeight="1">
      <c r="A9" s="244"/>
      <c r="B9" s="219"/>
      <c r="C9" s="219"/>
      <c r="D9" s="219"/>
      <c r="E9" s="219"/>
      <c r="F9" s="219"/>
      <c r="G9" s="247"/>
      <c r="H9" s="248"/>
      <c r="I9" s="249"/>
      <c r="J9" t="s" s="254">
        <v>161</v>
      </c>
      <c r="K9" t="s" s="218">
        <v>162</v>
      </c>
      <c r="L9" t="s" s="218">
        <v>163</v>
      </c>
      <c r="M9" t="s" s="218">
        <v>164</v>
      </c>
      <c r="N9" t="s" s="218">
        <v>165</v>
      </c>
      <c r="O9" t="s" s="218">
        <v>166</v>
      </c>
      <c r="P9" t="s" s="254">
        <v>167</v>
      </c>
      <c r="Q9" t="s" s="218">
        <v>168</v>
      </c>
      <c r="R9" t="s" s="218">
        <v>169</v>
      </c>
      <c r="S9" t="s" s="218">
        <v>170</v>
      </c>
      <c r="T9" t="s" s="218">
        <v>171</v>
      </c>
      <c r="U9" t="s" s="218">
        <v>172</v>
      </c>
      <c r="V9" t="s" s="254">
        <v>173</v>
      </c>
      <c r="W9" t="s" s="218">
        <v>174</v>
      </c>
      <c r="X9" t="s" s="218">
        <v>175</v>
      </c>
      <c r="Y9" t="s" s="218">
        <v>176</v>
      </c>
      <c r="Z9" t="s" s="218">
        <v>177</v>
      </c>
      <c r="AA9" t="s" s="218">
        <v>178</v>
      </c>
      <c r="AB9" t="s" s="254">
        <v>179</v>
      </c>
      <c r="AC9" t="s" s="218">
        <v>180</v>
      </c>
      <c r="AD9" t="s" s="218">
        <v>181</v>
      </c>
      <c r="AE9" t="s" s="218">
        <v>182</v>
      </c>
      <c r="AF9" t="s" s="218">
        <v>183</v>
      </c>
      <c r="AG9" t="s" s="218">
        <v>184</v>
      </c>
      <c r="AH9" t="s" s="271">
        <v>185</v>
      </c>
      <c r="AI9" t="s" s="272">
        <v>186</v>
      </c>
      <c r="AJ9" t="s" s="218">
        <v>187</v>
      </c>
      <c r="AK9" t="s" s="218">
        <v>188</v>
      </c>
      <c r="AL9" t="s" s="218">
        <v>189</v>
      </c>
      <c r="AM9" t="s" s="218">
        <v>190</v>
      </c>
      <c r="AN9" t="s" s="254">
        <v>191</v>
      </c>
      <c r="AO9" t="s" s="271">
        <v>192</v>
      </c>
      <c r="AP9" s="273"/>
    </row>
    <row r="10" ht="15" customHeight="1">
      <c r="A10" t="s" s="250">
        <v>197</v>
      </c>
      <c r="B10" s="236">
        <f>IF('Tabelle'!AD15&gt;'Tabelle'!AF15,1,0)</f>
        <v>0</v>
      </c>
      <c r="C10" s="236">
        <f>IF('Tabelle'!AD16&gt;'Tabelle'!AF16,1,0)</f>
        <v>1</v>
      </c>
      <c r="D10" s="236">
        <f>IF('Tabelle'!AD18&lt;'Tabelle'!AF18,1,0)</f>
        <v>1</v>
      </c>
      <c r="E10" s="236">
        <f>IF(AND('Tabelle'!AD15='Tabelle'!AF15,'Tabelle'!AD15&lt;&gt;""),1,0)</f>
        <v>0</v>
      </c>
      <c r="F10" s="236">
        <f>IF(AND('Tabelle'!AD16='Tabelle'!AF16,'Tabelle'!AD16&lt;&gt;""),1,0)</f>
        <v>0</v>
      </c>
      <c r="G10" s="255">
        <f>IF(AND('Tabelle'!AD18='Tabelle'!AF18,'Tabelle'!AD18&lt;&gt;""),1,0)</f>
        <v>0</v>
      </c>
      <c r="H10" s="248"/>
      <c r="I10" t="s" s="256">
        <v>16</v>
      </c>
      <c r="J10" s="257">
        <f>RANK('Gruppen'!K12,'Gruppen'!K$12:K$15,0)</f>
        <v>2</v>
      </c>
      <c r="K10" t="s" s="274">
        <f>IF(COUNTIF(J$10:J$13,J10)=1,"",1)</f>
      </c>
      <c r="L10" t="s" s="218">
        <f>IF(K10=1,'Ränge1'!M10,"")</f>
      </c>
      <c r="M10" t="s" s="218">
        <f>IF(K10=2,'Ränge1'!M10,"")</f>
      </c>
      <c r="N10" s="236">
        <f>IF(K10=1,RANK(L10,L$10:L$13),0)</f>
        <v>0</v>
      </c>
      <c r="O10" s="259">
        <f>IF(K10=2,RANK(M10,M$10:M$13),0)</f>
        <v>0</v>
      </c>
      <c r="P10" s="257">
        <f>IF(K10&lt;&gt;"",J10+N10+O10-1,J10)</f>
        <v>2</v>
      </c>
      <c r="Q10" t="s" s="258">
        <f>IF(COUNTIF(P$10:P$13,P10)=1,"",1)</f>
      </c>
      <c r="R10" t="s" s="218">
        <f>IF(Q10=1,'Ränge1'!N10,"")</f>
      </c>
      <c r="S10" t="s" s="218">
        <f>IF(Q10=2,'Ränge1'!N10,"")</f>
      </c>
      <c r="T10" s="236">
        <f>IF($Q10=1,RANK(R10,R$10:R$13),0)</f>
        <v>0</v>
      </c>
      <c r="U10" s="259">
        <f>IF($Q10=2,RANK(S10,S$10:S$13),0)</f>
        <v>0</v>
      </c>
      <c r="V10" s="257">
        <f>IF(Q10&lt;&gt;"",P10+T10+U10-1,P10)</f>
        <v>2</v>
      </c>
      <c r="W10" t="s" s="258">
        <f>IF(COUNTIF(V$10:V$13,V10)=1,"",1)</f>
      </c>
      <c r="X10" t="s" s="218">
        <f>IF(W10=1,'Ränge1'!O10,"")</f>
      </c>
      <c r="Y10" t="s" s="218">
        <f>IF(W10=2,'Ränge1'!O10,"")</f>
      </c>
      <c r="Z10" s="236">
        <f>IF($W10=1,RANK(X10,X$10:X$13),0)</f>
        <v>0</v>
      </c>
      <c r="AA10" s="259">
        <f>IF($W10=2,RANK(Y10,Y$10:Y$13),0)</f>
        <v>0</v>
      </c>
      <c r="AB10" s="257">
        <f>IF(W10&lt;&gt;"",V10+Z10+AA10-1,V10)</f>
        <v>2</v>
      </c>
      <c r="AC10" t="s" s="258">
        <f>IF(COUNTIF(AB$10:AB$13,AB10)=1,"",1)</f>
      </c>
      <c r="AD10" t="s" s="218">
        <f>IF(AC10=1,'Ränge1'!P10,"")</f>
      </c>
      <c r="AE10" t="s" s="218">
        <f>IF(AC10=2,'Ränge1'!P10,"")</f>
      </c>
      <c r="AF10" s="236">
        <f>IF($AC10=1,RANK(AD10,AD$10:AD$13),0)</f>
        <v>0</v>
      </c>
      <c r="AG10" s="259">
        <f>IF($AC10=2,RANK(AE10,AE$10:AE$13),0)</f>
        <v>0</v>
      </c>
      <c r="AH10" s="257">
        <f>IF(AC10&lt;&gt;"",AB10+AF10+AG10-1,AB10)</f>
        <v>2</v>
      </c>
      <c r="AI10" t="s" s="258">
        <f>IF(COUNTIF(AH$10:AH$13,AH10)=1,"",1)</f>
      </c>
      <c r="AJ10" t="s" s="218">
        <f>IF($AI10=1,'Ränge1'!Q10,"")</f>
      </c>
      <c r="AK10" t="s" s="218">
        <f>IF($AI10=2,'Ränge1'!Q10,"")</f>
      </c>
      <c r="AL10" s="236">
        <f>IF($AI10=1,RANK(AJ10,AJ$10:AJ$13),0)</f>
        <v>0</v>
      </c>
      <c r="AM10" s="259">
        <f>IF($AI10=2,RANK(AK10,AK$7:AK$13),0)</f>
        <v>0</v>
      </c>
      <c r="AN10" s="257">
        <f>IF(AI10&lt;&gt;"",AH10+AL10+AM10-1,AH10)</f>
        <v>2</v>
      </c>
      <c r="AO10" s="260">
        <f>AN10</f>
        <v>2</v>
      </c>
      <c r="AP10" t="s" s="258">
        <v>16</v>
      </c>
    </row>
    <row r="11" ht="15" customHeight="1">
      <c r="A11" t="s" s="250">
        <v>198</v>
      </c>
      <c r="B11" s="236">
        <f>IF('Tabelle'!AD15&lt;'Tabelle'!AF15,1,0)</f>
        <v>1</v>
      </c>
      <c r="C11" s="236">
        <f>IF('Tabelle'!AD17&lt;'Tabelle'!AF17,1,0)</f>
        <v>1</v>
      </c>
      <c r="D11" s="236">
        <f>IF('Tabelle'!AD19&gt;'Tabelle'!AF19,1,0)</f>
        <v>1</v>
      </c>
      <c r="E11" s="236">
        <f>IF(AND('Tabelle'!AD15='Tabelle'!AF15,'Tabelle'!AD15&lt;&gt;""),1,0)</f>
        <v>0</v>
      </c>
      <c r="F11" s="236">
        <f>IF(AND('Tabelle'!AD17='Tabelle'!AF17,'Tabelle'!AD17&lt;&gt;""),1,0)</f>
        <v>0</v>
      </c>
      <c r="G11" s="255">
        <f>IF(AND('Tabelle'!AD19='Tabelle'!AF19,'Tabelle'!AD19&lt;&gt;""),1,0)</f>
        <v>0</v>
      </c>
      <c r="H11" s="248"/>
      <c r="I11" t="s" s="256">
        <v>13</v>
      </c>
      <c r="J11" s="257">
        <f>RANK('Gruppen'!K13,'Gruppen'!K$12:K$15,0)</f>
        <v>1</v>
      </c>
      <c r="K11" t="s" s="274">
        <f>IF(COUNTIF(J$10:J$13,J11)=1,"",IF(AND(COUNT(K$10)&gt;0,J$10&lt;&gt;J11),2,1))</f>
      </c>
      <c r="L11" t="s" s="218">
        <f>IF(K11=1,'Ränge1'!M11,"")</f>
      </c>
      <c r="M11" t="s" s="218">
        <f>IF(K11=2,'Ränge1'!M11,"")</f>
      </c>
      <c r="N11" s="236">
        <f>IF(K11=1,RANK(L11,L$10:L$13),0)</f>
        <v>0</v>
      </c>
      <c r="O11" s="259">
        <f>IF(K11=2,RANK(M11,M$10:M$13),0)</f>
        <v>0</v>
      </c>
      <c r="P11" s="257">
        <f>IF(K11&lt;&gt;"",J11+N11+O11-1,J11)</f>
        <v>1</v>
      </c>
      <c r="Q11" t="s" s="258">
        <f>IF(COUNTIF(P$10:P$13,P11)=1,"",IF(AND(COUNT(Q$10)&gt;0,P$10&lt;&gt;P11),2,1))</f>
      </c>
      <c r="R11" t="s" s="218">
        <f>IF(Q11=1,'Ränge1'!N11,"")</f>
      </c>
      <c r="S11" t="s" s="218">
        <f>IF(Q11=2,'Ränge1'!N11,"")</f>
      </c>
      <c r="T11" s="236">
        <f>IF($Q11=1,RANK(R11,R$10:R$13),0)</f>
        <v>0</v>
      </c>
      <c r="U11" s="259">
        <f>IF($Q11=2,RANK(S11,S$10:S$13),0)</f>
        <v>0</v>
      </c>
      <c r="V11" s="257">
        <f>IF(Q11&lt;&gt;"",P11+T11+U11-1,P11)</f>
        <v>1</v>
      </c>
      <c r="W11" t="s" s="258">
        <f>IF(COUNTIF(V$10:V$13,V11)=1,"",IF(AND(COUNT(W$10)&gt;0,V$10&lt;&gt;V11),2,1))</f>
      </c>
      <c r="X11" t="s" s="218">
        <f>IF(W11=1,'Ränge1'!O11,"")</f>
      </c>
      <c r="Y11" t="s" s="218">
        <f>IF(W11=2,'Ränge1'!O11,"")</f>
      </c>
      <c r="Z11" s="236">
        <f>IF($W11=1,RANK(X11,X$10:X$13),0)</f>
        <v>0</v>
      </c>
      <c r="AA11" s="259">
        <f>IF($W11=2,RANK(Y11,Y$10:Y$13),0)</f>
        <v>0</v>
      </c>
      <c r="AB11" s="257">
        <f>IF(W11&lt;&gt;"",V11+Z11+AA11-1,V11)</f>
        <v>1</v>
      </c>
      <c r="AC11" t="s" s="258">
        <f>IF(COUNTIF(AB$10:AB$13,AB11)=1,"",IF(AND(COUNT(AC$10)&gt;0,AB$10&lt;&gt;AB11),2,1))</f>
      </c>
      <c r="AD11" t="s" s="218">
        <f>IF(AC11=1,'Ränge1'!P11,"")</f>
      </c>
      <c r="AE11" t="s" s="218">
        <f>IF(AC11=2,'Ränge1'!P11,"")</f>
      </c>
      <c r="AF11" s="236">
        <f>IF($AC11=1,RANK(AD11,AD$10:AD$13),0)</f>
        <v>0</v>
      </c>
      <c r="AG11" s="259">
        <f>IF($AC11=2,RANK(AE11,AE$10:AE$13),0)</f>
        <v>0</v>
      </c>
      <c r="AH11" s="257">
        <f>IF(AC11&lt;&gt;"",AB11+AF11+AG11-1,AB11)</f>
        <v>1</v>
      </c>
      <c r="AI11" t="s" s="258">
        <f>IF(COUNTIF(AH$10:AH$13,AH11)=1,"",IF(AND(COUNT(AI$10)&gt;0,AH$10&lt;&gt;AH11),2,1))</f>
      </c>
      <c r="AJ11" t="s" s="218">
        <f>IF($AI11=1,'Ränge1'!Q11,"")</f>
      </c>
      <c r="AK11" t="s" s="218">
        <f>IF($AI11=2,'Ränge1'!Q11,"")</f>
      </c>
      <c r="AL11" s="236">
        <f>IF($AI11=1,RANK(AJ11,AJ$10:AJ$13),0)</f>
        <v>0</v>
      </c>
      <c r="AM11" s="259">
        <f>IF($AI11=2,RANK(AK11,AK$7:AK$13),0)</f>
        <v>0</v>
      </c>
      <c r="AN11" s="257">
        <f>IF(AI11&lt;&gt;"",AH11+AL11+AM11-1,AH11)</f>
        <v>1</v>
      </c>
      <c r="AO11" s="260">
        <f>AN11</f>
        <v>1</v>
      </c>
      <c r="AP11" t="s" s="258">
        <v>13</v>
      </c>
    </row>
    <row r="12" ht="15" customHeight="1">
      <c r="A12" t="s" s="250">
        <v>199</v>
      </c>
      <c r="B12" s="236">
        <f>IF('Tabelle'!AD14&gt;'Tabelle'!AF14,1,0)</f>
        <v>1</v>
      </c>
      <c r="C12" s="236">
        <f>IF('Tabelle'!AD16&lt;'Tabelle'!AF16,1,0)</f>
        <v>0</v>
      </c>
      <c r="D12" s="236">
        <f>IF('Tabelle'!AD19&lt;'Tabelle'!AF19,1,0)</f>
        <v>0</v>
      </c>
      <c r="E12" s="236">
        <f>IF(AND('Tabelle'!AD14='Tabelle'!AF14,'Tabelle'!AD14&lt;&gt;""),1,0)</f>
        <v>0</v>
      </c>
      <c r="F12" s="236">
        <f>IF(AND('Tabelle'!AD16='Tabelle'!AF16,'Tabelle'!AD16&lt;&gt;""),1,0)</f>
        <v>0</v>
      </c>
      <c r="G12" s="255">
        <f>IF(AND('Tabelle'!AD19='Tabelle'!AF19,'Tabelle'!AD19&lt;&gt;""),1,0)</f>
        <v>0</v>
      </c>
      <c r="H12" s="248"/>
      <c r="I12" t="s" s="256">
        <v>19</v>
      </c>
      <c r="J12" s="257">
        <f>RANK('Gruppen'!K14,'Gruppen'!K$12:K$15,0)</f>
        <v>3</v>
      </c>
      <c r="K12" t="s" s="274">
        <f>IF(COUNTIF(J$10:J$13,J12)=1,"",IF(AND(COUNT(K$10)&gt;0,J$10&lt;&gt;J12),2,1))</f>
      </c>
      <c r="L12" t="s" s="218">
        <f>IF(K12=1,'Ränge1'!M12,"")</f>
      </c>
      <c r="M12" t="s" s="218">
        <f>IF(K12=2,'Ränge1'!M12,"")</f>
      </c>
      <c r="N12" s="236">
        <f>IF(K12=1,RANK(L12,L$10:L$13),0)</f>
        <v>0</v>
      </c>
      <c r="O12" s="259">
        <f>IF(K12=2,RANK(M12,M$10:M$13),0)</f>
        <v>0</v>
      </c>
      <c r="P12" s="257">
        <f>IF(K12&lt;&gt;"",J12+N12+O12-1,J12)</f>
        <v>3</v>
      </c>
      <c r="Q12" t="s" s="258">
        <f>IF(COUNTIF(P$10:P$13,P12)=1,"",IF(AND(COUNT(Q$10)&gt;0,P$10&lt;&gt;P12),2,1))</f>
      </c>
      <c r="R12" t="s" s="218">
        <f>IF(Q12=1,'Ränge1'!N12,"")</f>
      </c>
      <c r="S12" t="s" s="218">
        <f>IF(Q12=2,'Ränge1'!N12,"")</f>
      </c>
      <c r="T12" s="236">
        <f>IF($Q12=1,RANK(R12,R$10:R$13),0)</f>
        <v>0</v>
      </c>
      <c r="U12" s="259">
        <f>IF($Q12=2,RANK(S12,S$10:S$13),0)</f>
        <v>0</v>
      </c>
      <c r="V12" s="257">
        <f>IF(Q12&lt;&gt;"",P12+T12+U12-1,P12)</f>
        <v>3</v>
      </c>
      <c r="W12" t="s" s="258">
        <f>IF(COUNTIF(V$10:V$13,V12)=1,"",IF(AND(COUNT(W$10)&gt;0,V$10&lt;&gt;V12),2,1))</f>
      </c>
      <c r="X12" t="s" s="218">
        <f>IF(W12=1,'Ränge1'!O12,"")</f>
      </c>
      <c r="Y12" t="s" s="218">
        <f>IF(W12=2,'Ränge1'!O12,"")</f>
      </c>
      <c r="Z12" s="236">
        <f>IF($W12=1,RANK(X12,X$10:X$13),0)</f>
        <v>0</v>
      </c>
      <c r="AA12" s="259">
        <f>IF($W12=2,RANK(Y12,Y$10:Y$13),0)</f>
        <v>0</v>
      </c>
      <c r="AB12" s="257">
        <f>IF(W12&lt;&gt;"",V12+Z12+AA12-1,V12)</f>
        <v>3</v>
      </c>
      <c r="AC12" t="s" s="258">
        <f>IF(COUNTIF(AB$10:AB$13,AB12)=1,"",IF(AND(COUNT(AC$10)&gt;0,AB$10&lt;&gt;AB12),2,1))</f>
      </c>
      <c r="AD12" t="s" s="218">
        <f>IF(AC12=1,'Ränge1'!P12,"")</f>
      </c>
      <c r="AE12" t="s" s="218">
        <f>IF(AC12=2,'Ränge1'!P12,"")</f>
      </c>
      <c r="AF12" s="236">
        <f>IF($AC12=1,RANK(AD12,AD$10:AD$13),0)</f>
        <v>0</v>
      </c>
      <c r="AG12" s="259">
        <f>IF($AC12=2,RANK(AE12,AE$10:AE$13),0)</f>
        <v>0</v>
      </c>
      <c r="AH12" s="257">
        <f>IF(AC12&lt;&gt;"",AB12+AF12+AG12-1,AB12)</f>
        <v>3</v>
      </c>
      <c r="AI12" t="s" s="258">
        <f>IF(COUNTIF(AH$10:AH$13,AH12)=1,"",IF(AND(COUNT(AI$10)&gt;0,AH$10&lt;&gt;AH12),2,1))</f>
      </c>
      <c r="AJ12" t="s" s="218">
        <f>IF($AI12=1,'Ränge1'!Q12,"")</f>
      </c>
      <c r="AK12" t="s" s="218">
        <f>IF($AI12=2,'Ränge1'!Q12,"")</f>
      </c>
      <c r="AL12" s="236">
        <f>IF($AI12=1,RANK(AJ12,AJ$10:AJ$13),0)</f>
        <v>0</v>
      </c>
      <c r="AM12" s="259">
        <f>IF($AI12=2,RANK(AK12,AK$7:AK$13),0)</f>
        <v>0</v>
      </c>
      <c r="AN12" s="257">
        <f>IF(AI12&lt;&gt;"",AH12+AL12+AM12-1,AH12)</f>
        <v>3</v>
      </c>
      <c r="AO12" s="260">
        <f>AN12</f>
        <v>3</v>
      </c>
      <c r="AP12" t="s" s="258">
        <v>19</v>
      </c>
    </row>
    <row r="13" ht="15" customHeight="1">
      <c r="A13" t="s" s="250">
        <v>200</v>
      </c>
      <c r="B13" s="236">
        <f>IF('Tabelle'!AD14&lt;'Tabelle'!AF14,1,0)</f>
        <v>0</v>
      </c>
      <c r="C13" s="236">
        <f>IF('Tabelle'!AD17&gt;'Tabelle'!AF17,1,0)</f>
        <v>0</v>
      </c>
      <c r="D13" s="236">
        <f>IF('Tabelle'!AD18&gt;'Tabelle'!AF18,1,0)</f>
        <v>0</v>
      </c>
      <c r="E13" s="236">
        <f>IF(AND('Tabelle'!AD14='Tabelle'!AF14,'Tabelle'!AD14&lt;&gt;""),1,0)</f>
        <v>0</v>
      </c>
      <c r="F13" s="236">
        <f>IF(AND('Tabelle'!AD17='Tabelle'!AF17,'Tabelle'!AD17&lt;&gt;""),1,0)</f>
        <v>0</v>
      </c>
      <c r="G13" s="255">
        <f>IF(AND('Tabelle'!AD18='Tabelle'!AF18,'Tabelle'!AD18&lt;&gt;""),1,0)</f>
        <v>0</v>
      </c>
      <c r="H13" s="248"/>
      <c r="I13" t="s" s="256">
        <v>22</v>
      </c>
      <c r="J13" s="257">
        <f>RANK('Gruppen'!K15,'Gruppen'!K$12:K$15,0)</f>
        <v>4</v>
      </c>
      <c r="K13" t="s" s="274">
        <f>IF(COUNTIF(J$10:J$13,J13)=1,"",IF(AND(COUNT(K$10)&gt;0,J$10&lt;&gt;J13),2,1))</f>
      </c>
      <c r="L13" t="s" s="218">
        <f>IF(K13=1,'Ränge1'!M13,"")</f>
      </c>
      <c r="M13" t="s" s="218">
        <f>IF(K13=2,'Ränge1'!M13,"")</f>
      </c>
      <c r="N13" s="236">
        <f>IF(K13=1,RANK(L13,L$10:L$13),0)</f>
        <v>0</v>
      </c>
      <c r="O13" s="259">
        <f>IF(K13=2,RANK(M13,M$10:M$13),0)</f>
        <v>0</v>
      </c>
      <c r="P13" s="257">
        <f>IF(K13&lt;&gt;"",J13+N13+O13-1,J13)</f>
        <v>4</v>
      </c>
      <c r="Q13" t="s" s="258">
        <f>IF(COUNTIF(P$10:P$13,P13)=1,"",IF(AND(COUNT(Q$10)&gt;0,P$10&lt;&gt;P13),2,1))</f>
      </c>
      <c r="R13" t="s" s="218">
        <f>IF(Q13=1,'Ränge1'!N13,"")</f>
      </c>
      <c r="S13" t="s" s="218">
        <f>IF(Q13=2,'Ränge1'!N13,"")</f>
      </c>
      <c r="T13" s="236">
        <f>IF($Q13=1,RANK(R13,R$10:R$13),0)</f>
        <v>0</v>
      </c>
      <c r="U13" s="259">
        <f>IF($Q13=2,RANK(S13,S$10:S$13),0)</f>
        <v>0</v>
      </c>
      <c r="V13" s="257">
        <f>IF(Q13&lt;&gt;"",P13+T13+U13-1,P13)</f>
        <v>4</v>
      </c>
      <c r="W13" t="s" s="258">
        <f>IF(COUNTIF(V$10:V$13,V13)=1,"",IF(AND(COUNT(W$10)&gt;0,V$10&lt;&gt;V13),2,1))</f>
      </c>
      <c r="X13" t="s" s="218">
        <f>IF(W13=1,'Ränge1'!O13,"")</f>
      </c>
      <c r="Y13" t="s" s="218">
        <f>IF(W13=2,'Ränge1'!O13,"")</f>
      </c>
      <c r="Z13" s="236">
        <f>IF($W13=1,RANK(X13,X$10:X$13),0)</f>
        <v>0</v>
      </c>
      <c r="AA13" s="259">
        <f>IF($W13=2,RANK(Y13,Y$10:Y$13),0)</f>
        <v>0</v>
      </c>
      <c r="AB13" s="257">
        <f>IF(W13&lt;&gt;"",V13+Z13+AA13-1,V13)</f>
        <v>4</v>
      </c>
      <c r="AC13" t="s" s="258">
        <f>IF(COUNTIF(AB$10:AB$13,AB13)=1,"",IF(AND(COUNT(AC$10)&gt;0,AB$10&lt;&gt;AB13),2,1))</f>
      </c>
      <c r="AD13" t="s" s="218">
        <f>IF(AC13=1,'Ränge1'!P13,"")</f>
      </c>
      <c r="AE13" t="s" s="218">
        <f>IF(AC13=2,'Ränge1'!P13,"")</f>
      </c>
      <c r="AF13" s="236">
        <f>IF($AC13=1,RANK(AD13,AD$10:AD$13),0)</f>
        <v>0</v>
      </c>
      <c r="AG13" s="259">
        <f>IF($AC13=2,RANK(AE13,AE$10:AE$13),0)</f>
        <v>0</v>
      </c>
      <c r="AH13" s="257">
        <f>IF(AC13&lt;&gt;"",AB13+AF13+AG13-1,AB13)</f>
        <v>4</v>
      </c>
      <c r="AI13" t="s" s="258">
        <f>IF(COUNTIF(AH$10:AH$13,AH13)=1,"",IF(AND(COUNT(AI$10)&gt;0,AH$10&lt;&gt;AH13),2,1))</f>
      </c>
      <c r="AJ13" t="s" s="218">
        <f>IF($AI13=1,'Ränge1'!Q13,"")</f>
      </c>
      <c r="AK13" t="s" s="218">
        <f>IF($AI13=2,'Ränge1'!Q13,"")</f>
      </c>
      <c r="AL13" s="236">
        <f>IF($AI13=1,RANK(AJ13,AJ$10:AJ$13),0)</f>
        <v>0</v>
      </c>
      <c r="AM13" s="259">
        <f>IF($AI13=2,RANK(AK13,AK$7:AK$13),0)</f>
        <v>0</v>
      </c>
      <c r="AN13" s="257">
        <f>IF(AI13&lt;&gt;"",AH13+AL13+AM13-1,AH13)</f>
        <v>4</v>
      </c>
      <c r="AO13" s="260">
        <f>AN13</f>
        <v>4</v>
      </c>
      <c r="AP13" t="s" s="258">
        <v>22</v>
      </c>
    </row>
    <row r="14" ht="15" customHeight="1">
      <c r="A14" s="244"/>
      <c r="B14" s="219"/>
      <c r="C14" s="219"/>
      <c r="D14" s="219"/>
      <c r="E14" s="219"/>
      <c r="F14" s="219"/>
      <c r="G14" s="247"/>
      <c r="H14" s="248"/>
      <c r="I14" s="249"/>
      <c r="J14" s="264"/>
      <c r="K14" s="265"/>
      <c r="L14" s="219"/>
      <c r="M14" s="219"/>
      <c r="N14" s="219"/>
      <c r="O14" s="219"/>
      <c r="P14" s="264"/>
      <c r="Q14" s="219"/>
      <c r="R14" s="219"/>
      <c r="S14" s="219"/>
      <c r="T14" s="219"/>
      <c r="U14" s="219"/>
      <c r="V14" s="264"/>
      <c r="W14" s="219"/>
      <c r="X14" s="219"/>
      <c r="Y14" s="219"/>
      <c r="Z14" s="219"/>
      <c r="AA14" s="219"/>
      <c r="AB14" s="264"/>
      <c r="AC14" s="219"/>
      <c r="AD14" s="219"/>
      <c r="AE14" s="219"/>
      <c r="AF14" s="219"/>
      <c r="AG14" s="219"/>
      <c r="AH14" s="264"/>
      <c r="AI14" s="219"/>
      <c r="AJ14" s="219"/>
      <c r="AK14" s="219"/>
      <c r="AL14" s="219"/>
      <c r="AM14" s="219"/>
      <c r="AN14" s="264"/>
      <c r="AO14" s="264"/>
      <c r="AP14" s="219"/>
    </row>
    <row r="15" ht="15" customHeight="1">
      <c r="A15" s="244"/>
      <c r="B15" s="219"/>
      <c r="C15" s="219"/>
      <c r="D15" s="219"/>
      <c r="E15" s="219"/>
      <c r="F15" s="219"/>
      <c r="G15" s="247"/>
      <c r="H15" s="248"/>
      <c r="I15" s="249"/>
      <c r="J15" t="s" s="254">
        <v>161</v>
      </c>
      <c r="K15" t="s" s="218">
        <v>162</v>
      </c>
      <c r="L15" t="s" s="218">
        <v>163</v>
      </c>
      <c r="M15" t="s" s="218">
        <v>164</v>
      </c>
      <c r="N15" t="s" s="218">
        <v>165</v>
      </c>
      <c r="O15" t="s" s="218">
        <v>166</v>
      </c>
      <c r="P15" t="s" s="254">
        <v>167</v>
      </c>
      <c r="Q15" t="s" s="218">
        <v>168</v>
      </c>
      <c r="R15" t="s" s="218">
        <v>169</v>
      </c>
      <c r="S15" t="s" s="218">
        <v>170</v>
      </c>
      <c r="T15" t="s" s="218">
        <v>171</v>
      </c>
      <c r="U15" t="s" s="218">
        <v>172</v>
      </c>
      <c r="V15" t="s" s="254">
        <v>173</v>
      </c>
      <c r="W15" t="s" s="218">
        <v>174</v>
      </c>
      <c r="X15" t="s" s="218">
        <v>175</v>
      </c>
      <c r="Y15" t="s" s="218">
        <v>176</v>
      </c>
      <c r="Z15" t="s" s="218">
        <v>177</v>
      </c>
      <c r="AA15" t="s" s="218">
        <v>178</v>
      </c>
      <c r="AB15" t="s" s="254">
        <v>179</v>
      </c>
      <c r="AC15" t="s" s="218">
        <v>180</v>
      </c>
      <c r="AD15" t="s" s="218">
        <v>181</v>
      </c>
      <c r="AE15" t="s" s="218">
        <v>182</v>
      </c>
      <c r="AF15" t="s" s="218">
        <v>183</v>
      </c>
      <c r="AG15" t="s" s="218">
        <v>184</v>
      </c>
      <c r="AH15" t="s" s="254">
        <v>185</v>
      </c>
      <c r="AI15" t="s" s="218">
        <v>186</v>
      </c>
      <c r="AJ15" t="s" s="218">
        <v>187</v>
      </c>
      <c r="AK15" t="s" s="218">
        <v>188</v>
      </c>
      <c r="AL15" t="s" s="218">
        <v>189</v>
      </c>
      <c r="AM15" t="s" s="218">
        <v>190</v>
      </c>
      <c r="AN15" t="s" s="254">
        <v>191</v>
      </c>
      <c r="AO15" t="s" s="254">
        <v>192</v>
      </c>
      <c r="AP15" s="219"/>
    </row>
    <row r="16" ht="15" customHeight="1">
      <c r="A16" t="s" s="250">
        <v>201</v>
      </c>
      <c r="B16" s="236">
        <f>IF('Tabelle'!M31&gt;'Tabelle'!O31,1,0)</f>
        <v>1</v>
      </c>
      <c r="C16" s="236">
        <f>IF('Tabelle'!M34&gt;'Tabelle'!O34,1,0)</f>
        <v>1</v>
      </c>
      <c r="D16" s="236">
        <f>IF('Tabelle'!O35&gt;'Tabelle'!M35,1,0)</f>
        <v>1</v>
      </c>
      <c r="E16" s="236">
        <f>IF(AND('Tabelle'!M31='Tabelle'!O31,'Tabelle'!M31&lt;&gt;""),1,0)</f>
        <v>0</v>
      </c>
      <c r="F16" s="236">
        <f>IF(AND('Tabelle'!M34='Tabelle'!O34,'Tabelle'!M34&lt;&gt;""),1,0)</f>
        <v>0</v>
      </c>
      <c r="G16" s="236">
        <f>IF(AND('Tabelle'!M35='Tabelle'!O35,'Tabelle'!M35&lt;&gt;""),1,0)</f>
        <v>0</v>
      </c>
      <c r="H16" s="275"/>
      <c r="I16" t="s" s="256">
        <v>40</v>
      </c>
      <c r="J16" s="257">
        <f>RANK('Gruppen'!K18,'Gruppen'!K$18:K$21,0)</f>
        <v>1</v>
      </c>
      <c r="K16" t="s" s="274">
        <f>IF(COUNTIF(J$16:J$19,J16)=1,"",1)</f>
      </c>
      <c r="L16" t="s" s="218">
        <f>IF(K16=1,'Ränge1'!M16,"")</f>
      </c>
      <c r="M16" t="s" s="218">
        <f>IF(K16=2,'Ränge1'!M16,"")</f>
      </c>
      <c r="N16" s="236">
        <f>IF(K16=1,RANK(L16,L$16:L$19),0)</f>
        <v>0</v>
      </c>
      <c r="O16" s="259">
        <f>IF(K16=2,RANK(M16,M$16:M$19),0)</f>
        <v>0</v>
      </c>
      <c r="P16" s="257">
        <f>IF(K16&lt;&gt;"",J16+N16+O16-1,J16)</f>
        <v>1</v>
      </c>
      <c r="Q16" t="s" s="258">
        <f>IF(COUNTIF(P$16:P$19,P16)=1,"",1)</f>
      </c>
      <c r="R16" t="s" s="218">
        <f>IF(Q16=1,'Ränge1'!N16,"")</f>
      </c>
      <c r="S16" t="s" s="218">
        <f>IF(Q16=2,'Ränge1'!N16,"")</f>
      </c>
      <c r="T16" s="236">
        <f>IF($Q16=1,RANK(R16,R$16:R$19),0)</f>
        <v>0</v>
      </c>
      <c r="U16" s="259">
        <f>IF($Q16=2,RANK(S16,S$16:S$19),0)</f>
        <v>0</v>
      </c>
      <c r="V16" s="257">
        <f>IF(Q16&lt;&gt;"",P16+T16+U16-1,P16)</f>
        <v>1</v>
      </c>
      <c r="W16" t="s" s="258">
        <f>IF(COUNTIF(V$16:V$19,V16)=1,"",1)</f>
      </c>
      <c r="X16" t="s" s="218">
        <f>IF(W16=1,'Ränge1'!O16,"")</f>
      </c>
      <c r="Y16" t="s" s="218">
        <f>IF(W16=2,'Ränge1'!O16,"")</f>
      </c>
      <c r="Z16" s="236">
        <f>IF($W16=1,RANK(X16,X$16:X$19),0)</f>
        <v>0</v>
      </c>
      <c r="AA16" s="259">
        <f>IF($W16=2,RANK(Y16,Y$16:Y$19),0)</f>
        <v>0</v>
      </c>
      <c r="AB16" s="257">
        <f>IF(W16&lt;&gt;"",V16+Z16+AA16-1,V16)</f>
        <v>1</v>
      </c>
      <c r="AC16" t="s" s="258">
        <f>IF(COUNTIF(AB$16:AB$19,AB16)=1,"",1)</f>
      </c>
      <c r="AD16" t="s" s="218">
        <f>IF(AC16=1,'Ränge1'!P16,"")</f>
      </c>
      <c r="AE16" t="s" s="218">
        <f>IF(AC16=2,'Ränge1'!P16,"")</f>
      </c>
      <c r="AF16" s="236">
        <f>IF($AC16=1,RANK(AD16,AD$16:AD$19),0)</f>
        <v>0</v>
      </c>
      <c r="AG16" s="259">
        <f>IF($AC16=2,RANK(AE16,AE$16:AE$19),0)</f>
        <v>0</v>
      </c>
      <c r="AH16" s="257">
        <f>IF(AC16&lt;&gt;"",AB16+AF16+AG16-1,AB16)</f>
        <v>1</v>
      </c>
      <c r="AI16" t="s" s="258">
        <f>IF(COUNTIF(AH$16:AH$19,AH16)=1,"",1)</f>
      </c>
      <c r="AJ16" t="s" s="218">
        <f>IF($AI16=1,'Ränge1'!Q16,"")</f>
      </c>
      <c r="AK16" t="s" s="218">
        <f>IF($AI16=2,'Ränge1'!Q16,"")</f>
      </c>
      <c r="AL16" s="236">
        <f>IF($AI16=1,RANK(AJ16,AJ$16:AJ$19),0)</f>
        <v>0</v>
      </c>
      <c r="AM16" s="259">
        <f>IF($AI16=2,RANK(AK16,AK$16:AK$19),0)</f>
        <v>0</v>
      </c>
      <c r="AN16" s="257">
        <f>IF(AI16&lt;&gt;"",AH16+AL16+AM16-1,AH16)</f>
        <v>1</v>
      </c>
      <c r="AO16" s="260">
        <f>AN16</f>
        <v>1</v>
      </c>
      <c r="AP16" t="s" s="258">
        <v>40</v>
      </c>
    </row>
    <row r="17" ht="15" customHeight="1">
      <c r="A17" t="s" s="250">
        <v>202</v>
      </c>
      <c r="B17" s="236">
        <f>IF('Tabelle'!O31&gt;'Tabelle'!M31,1,0)</f>
        <v>0</v>
      </c>
      <c r="C17" s="236">
        <f>IF('Tabelle'!M33&lt;'Tabelle'!O33,1,0)</f>
        <v>0</v>
      </c>
      <c r="D17" s="236">
        <f>IF('Tabelle'!M36&gt;'Tabelle'!O36,1,0)</f>
        <v>0</v>
      </c>
      <c r="E17" s="236">
        <f>IF(AND('Tabelle'!M31='Tabelle'!O31,'Tabelle'!M31&lt;&gt;""),1,0)</f>
        <v>0</v>
      </c>
      <c r="F17" s="236">
        <f>IF(AND('Tabelle'!M33='Tabelle'!O33,'Tabelle'!M33&lt;&gt;""),1,0)</f>
        <v>0</v>
      </c>
      <c r="G17" s="236">
        <f>IF(AND('Tabelle'!M36='Tabelle'!O36,'Tabelle'!M36&lt;&gt;""),1,0)</f>
        <v>0</v>
      </c>
      <c r="H17" s="275"/>
      <c r="I17" t="s" s="256">
        <v>46</v>
      </c>
      <c r="J17" s="257">
        <f>RANK('Gruppen'!K19,'Gruppen'!K$18:K$21,0)</f>
        <v>4</v>
      </c>
      <c r="K17" t="s" s="274">
        <f>IF(COUNTIF(J$16:J$19,J17)=1,"",IF(AND(COUNT(K$16)&gt;0,J$16&lt;&gt;J17),2,1))</f>
      </c>
      <c r="L17" t="s" s="218">
        <f>IF(K17=1,'Ränge1'!M17,"")</f>
      </c>
      <c r="M17" t="s" s="218">
        <f>IF(K17=2,'Ränge1'!M17,"")</f>
      </c>
      <c r="N17" s="236">
        <f>IF(K17=1,RANK(L17,L$16:L$19),0)</f>
        <v>0</v>
      </c>
      <c r="O17" s="259">
        <f>IF(K17=2,RANK(M17,M$16:M$19),0)</f>
        <v>0</v>
      </c>
      <c r="P17" s="257">
        <f>IF(K17&lt;&gt;"",J17+N17+O17-1,J17)</f>
        <v>4</v>
      </c>
      <c r="Q17" t="s" s="258">
        <f>IF(COUNTIF(P$16:P$19,P17)=1,"",IF(AND(COUNT(Q$16)&gt;0,P$16&lt;&gt;P17),2,1))</f>
      </c>
      <c r="R17" t="s" s="218">
        <f>IF(Q17=1,'Ränge1'!N17,"")</f>
      </c>
      <c r="S17" t="s" s="218">
        <f>IF(Q17=2,'Ränge1'!N17,"")</f>
      </c>
      <c r="T17" s="236">
        <f>IF($Q17=1,RANK(R17,R$16:R$19),0)</f>
        <v>0</v>
      </c>
      <c r="U17" s="259">
        <f>IF($Q17=2,RANK(S17,S$16:S$19),0)</f>
        <v>0</v>
      </c>
      <c r="V17" s="257">
        <f>IF(Q17&lt;&gt;"",P17+T17+U17-1,P17)</f>
        <v>4</v>
      </c>
      <c r="W17" t="s" s="258">
        <f>IF(COUNTIF(V$16:V$19,V17)=1,"",IF(AND(COUNT(W$16)&gt;0,V$16&lt;&gt;V17),2,1))</f>
      </c>
      <c r="X17" t="s" s="218">
        <f>IF(W17=1,'Ränge1'!O17,"")</f>
      </c>
      <c r="Y17" t="s" s="218">
        <f>IF(W17=2,'Ränge1'!O17,"")</f>
      </c>
      <c r="Z17" s="236">
        <f>IF($W17=1,RANK(X17,X$16:X$19),0)</f>
        <v>0</v>
      </c>
      <c r="AA17" s="259">
        <f>IF($W17=2,RANK(Y17,Y$16:Y$19),0)</f>
        <v>0</v>
      </c>
      <c r="AB17" s="257">
        <f>IF(W17&lt;&gt;"",V17+Z17+AA17-1,V17)</f>
        <v>4</v>
      </c>
      <c r="AC17" t="s" s="258">
        <f>IF(COUNTIF(AB$16:AB$19,AB17)=1,"",IF(AND(COUNT(AC$16)&gt;0,AB$16&lt;&gt;AB17),2,1))</f>
      </c>
      <c r="AD17" t="s" s="218">
        <f>IF(AC17=1,'Ränge1'!P17,"")</f>
      </c>
      <c r="AE17" t="s" s="218">
        <f>IF(AC17=2,'Ränge1'!P17,"")</f>
      </c>
      <c r="AF17" s="236">
        <f>IF($AC17=1,RANK(AD17,AD$16:AD$19),0)</f>
        <v>0</v>
      </c>
      <c r="AG17" s="259">
        <f>IF($AC17=2,RANK(AE17,AE$16:AE$19),0)</f>
        <v>0</v>
      </c>
      <c r="AH17" s="257">
        <f>IF(AC17&lt;&gt;"",AB17+AF17+AG17-1,AB17)</f>
        <v>4</v>
      </c>
      <c r="AI17" t="s" s="258">
        <f>IF(COUNTIF(AH$16:AH$19,AH17)=1,"",IF(AND(COUNT(AI$16)&gt;0,AH$16&lt;&gt;AH17),2,1))</f>
      </c>
      <c r="AJ17" t="s" s="218">
        <f>IF($AI17=1,'Ränge1'!Q17,"")</f>
      </c>
      <c r="AK17" t="s" s="218">
        <f>IF($AI17=2,'Ränge1'!Q17,"")</f>
      </c>
      <c r="AL17" s="236">
        <f>IF($AI17=1,RANK(AJ17,AJ$16:AJ$19),0)</f>
        <v>0</v>
      </c>
      <c r="AM17" s="259">
        <f>IF($AI17=2,RANK(AK17,AK$16:AK$19),0)</f>
        <v>0</v>
      </c>
      <c r="AN17" s="257">
        <f>IF(AI17&lt;&gt;"",AH17+AL17+AM17-1,AH17)</f>
        <v>4</v>
      </c>
      <c r="AO17" s="260">
        <f>AN17</f>
        <v>4</v>
      </c>
      <c r="AP17" t="s" s="258">
        <v>46</v>
      </c>
    </row>
    <row r="18" ht="15" customHeight="1">
      <c r="A18" t="s" s="250">
        <v>203</v>
      </c>
      <c r="B18" s="236">
        <f>IF('Tabelle'!M32&gt;'Tabelle'!O32,1,0)</f>
        <v>0</v>
      </c>
      <c r="C18" s="236">
        <f>IF('Tabelle'!O34&gt;'Tabelle'!M34,1,0)</f>
        <v>0</v>
      </c>
      <c r="D18" s="236">
        <f>IF('Tabelle'!O36&gt;'Tabelle'!M36,1,0)</f>
        <v>1</v>
      </c>
      <c r="E18" s="236">
        <f>IF(AND('Tabelle'!M32='Tabelle'!O32,'Tabelle'!M32&lt;&gt;""),1,0)</f>
        <v>0</v>
      </c>
      <c r="F18" s="236">
        <f>IF(AND('Tabelle'!M34='Tabelle'!O34,'Tabelle'!M34&lt;&gt;""),1,0)</f>
        <v>0</v>
      </c>
      <c r="G18" s="236">
        <f>IF(AND('Tabelle'!M36='Tabelle'!O36,'Tabelle'!M36&lt;&gt;""),1,0)</f>
        <v>0</v>
      </c>
      <c r="H18" s="275"/>
      <c r="I18" t="s" s="256">
        <v>44</v>
      </c>
      <c r="J18" s="257">
        <f>RANK('Gruppen'!K20,'Gruppen'!K$18:K$21,0)</f>
        <v>3</v>
      </c>
      <c r="K18" t="s" s="274">
        <f>IF(COUNTIF(J$16:J$19,J18)=1,"",IF(AND(COUNT(K$16)&gt;0,J$16&lt;&gt;J18),2,1))</f>
      </c>
      <c r="L18" t="s" s="218">
        <f>IF(K18=1,'Ränge1'!M18,"")</f>
      </c>
      <c r="M18" t="s" s="218">
        <f>IF(K18=2,'Ränge1'!M18,"")</f>
      </c>
      <c r="N18" s="236">
        <f>IF(K18=1,RANK(L18,L$16:L$19),0)</f>
        <v>0</v>
      </c>
      <c r="O18" s="259">
        <f>IF(K18=2,RANK(M18,M$16:M$19),0)</f>
        <v>0</v>
      </c>
      <c r="P18" s="257">
        <f>IF(K18&lt;&gt;"",J18+N18+O18-1,J18)</f>
        <v>3</v>
      </c>
      <c r="Q18" t="s" s="258">
        <f>IF(COUNTIF(P$16:P$19,P18)=1,"",IF(AND(COUNT(Q$16)&gt;0,P$16&lt;&gt;P18),2,1))</f>
      </c>
      <c r="R18" t="s" s="218">
        <f>IF(Q18=1,'Ränge1'!N18,"")</f>
      </c>
      <c r="S18" t="s" s="218">
        <f>IF(Q18=2,'Ränge1'!N18,"")</f>
      </c>
      <c r="T18" s="236">
        <f>IF($Q18=1,RANK(R18,R$16:R$19),0)</f>
        <v>0</v>
      </c>
      <c r="U18" s="259">
        <f>IF($Q18=2,RANK(S18,S$16:S$19),0)</f>
        <v>0</v>
      </c>
      <c r="V18" s="257">
        <f>IF(Q18&lt;&gt;"",P18+T18+U18-1,P18)</f>
        <v>3</v>
      </c>
      <c r="W18" t="s" s="258">
        <f>IF(COUNTIF(V$16:V$19,V18)=1,"",IF(AND(COUNT(W$16)&gt;0,V$16&lt;&gt;V18),2,1))</f>
      </c>
      <c r="X18" t="s" s="218">
        <f>IF(W18=1,'Ränge1'!O18,"")</f>
      </c>
      <c r="Y18" t="s" s="218">
        <f>IF(W18=2,'Ränge1'!O18,"")</f>
      </c>
      <c r="Z18" s="236">
        <f>IF($W18=1,RANK(X18,X$16:X$19),0)</f>
        <v>0</v>
      </c>
      <c r="AA18" s="259">
        <f>IF($W18=2,RANK(Y18,Y$16:Y$19),0)</f>
        <v>0</v>
      </c>
      <c r="AB18" s="257">
        <f>IF(W18&lt;&gt;"",V18+Z18+AA18-1,V18)</f>
        <v>3</v>
      </c>
      <c r="AC18" t="s" s="258">
        <f>IF(COUNTIF(AB$16:AB$19,AB18)=1,"",IF(AND(COUNT(AC$16)&gt;0,AB$16&lt;&gt;AB18),2,1))</f>
      </c>
      <c r="AD18" t="s" s="218">
        <f>IF(AC18=1,'Ränge1'!P18,"")</f>
      </c>
      <c r="AE18" t="s" s="218">
        <f>IF(AC18=2,'Ränge1'!P18,"")</f>
      </c>
      <c r="AF18" s="236">
        <f>IF($AC18=1,RANK(AD18,AD$16:AD$19),0)</f>
        <v>0</v>
      </c>
      <c r="AG18" s="259">
        <f>IF($AC18=2,RANK(AE18,AE$16:AE$19),0)</f>
        <v>0</v>
      </c>
      <c r="AH18" s="257">
        <f>IF(AC18&lt;&gt;"",AB18+AF18+AG18-1,AB18)</f>
        <v>3</v>
      </c>
      <c r="AI18" t="s" s="258">
        <f>IF(COUNTIF(AH$16:AH$19,AH18)=1,"",IF(AND(COUNT(AI$16)&gt;0,AH$16&lt;&gt;AH18),2,1))</f>
      </c>
      <c r="AJ18" t="s" s="218">
        <f>IF($AI18=1,'Ränge1'!Q18,"")</f>
      </c>
      <c r="AK18" t="s" s="218">
        <f>IF($AI18=2,'Ränge1'!Q18,"")</f>
      </c>
      <c r="AL18" s="236">
        <f>IF($AI18=1,RANK(AJ18,AJ$16:AJ$19),0)</f>
        <v>0</v>
      </c>
      <c r="AM18" s="259">
        <f>IF($AI18=2,RANK(AK18,AK$16:AK$19),0)</f>
        <v>0</v>
      </c>
      <c r="AN18" s="257">
        <f>IF(AI18&lt;&gt;"",AH18+AL18+AM18-1,AH18)</f>
        <v>3</v>
      </c>
      <c r="AO18" s="260">
        <f>AN18</f>
        <v>3</v>
      </c>
      <c r="AP18" t="s" s="258">
        <v>44</v>
      </c>
    </row>
    <row r="19" ht="15" customHeight="1">
      <c r="A19" t="s" s="250">
        <v>204</v>
      </c>
      <c r="B19" s="236">
        <f>IF('Tabelle'!O32&gt;'Tabelle'!M32,1,0)</f>
        <v>1</v>
      </c>
      <c r="C19" s="236">
        <f>IF('Tabelle'!O33&lt;'Tabelle'!M33,1,0)</f>
        <v>1</v>
      </c>
      <c r="D19" s="236">
        <f>IF('Tabelle'!M35&gt;'Tabelle'!O35,1,0)</f>
        <v>0</v>
      </c>
      <c r="E19" s="236">
        <f>IF(AND('Tabelle'!M32='Tabelle'!O32,'Tabelle'!M32&lt;&gt;""),1,0)</f>
        <v>0</v>
      </c>
      <c r="F19" s="236">
        <f>IF(AND('Tabelle'!M33='Tabelle'!O33,'Tabelle'!M33&lt;&gt;""),1,0)</f>
        <v>0</v>
      </c>
      <c r="G19" s="236">
        <f>IF(AND('Tabelle'!M35='Tabelle'!O35,'Tabelle'!M35&lt;&gt;""),1,0)</f>
        <v>0</v>
      </c>
      <c r="H19" s="275"/>
      <c r="I19" t="s" s="256">
        <v>42</v>
      </c>
      <c r="J19" s="257">
        <f>RANK('Gruppen'!K21,'Gruppen'!K$18:K$21,0)</f>
        <v>2</v>
      </c>
      <c r="K19" t="s" s="274">
        <f>IF(COUNTIF(J$16:J$19,J19)=1,"",IF(AND(COUNT(K$16)&gt;0,J$16&lt;&gt;J19),2,1))</f>
      </c>
      <c r="L19" t="s" s="218">
        <f>IF(K19=1,'Ränge1'!M19,"")</f>
      </c>
      <c r="M19" t="s" s="218">
        <f>IF(K19=2,'Ränge1'!M19,"")</f>
      </c>
      <c r="N19" s="236">
        <f>IF(K19=1,RANK(L19,L$16:L$19),0)</f>
        <v>0</v>
      </c>
      <c r="O19" s="259">
        <f>IF(K19=2,RANK(M19,M$16:M$19),0)</f>
        <v>0</v>
      </c>
      <c r="P19" s="257">
        <f>IF(K19&lt;&gt;"",J19+N19+O19-1,J19)</f>
        <v>2</v>
      </c>
      <c r="Q19" t="s" s="258">
        <f>IF(COUNTIF(P$16:P$19,P19)=1,"",IF(AND(COUNT(Q$16)&gt;0,P$16&lt;&gt;P19),2,1))</f>
      </c>
      <c r="R19" t="s" s="218">
        <f>IF(Q19=1,'Ränge1'!N19,"")</f>
      </c>
      <c r="S19" t="s" s="218">
        <f>IF(Q19=2,'Ränge1'!N19,"")</f>
      </c>
      <c r="T19" s="236">
        <f>IF($Q19=1,RANK(R19,R$16:R$19),0)</f>
        <v>0</v>
      </c>
      <c r="U19" s="259">
        <f>IF($Q19=2,RANK(S19,S$16:S$19),0)</f>
        <v>0</v>
      </c>
      <c r="V19" s="257">
        <f>IF(Q19&lt;&gt;"",P19+T19+U19-1,P19)</f>
        <v>2</v>
      </c>
      <c r="W19" t="s" s="258">
        <f>IF(COUNTIF(V$16:V$19,V19)=1,"",IF(AND(COUNT(W$16)&gt;0,V$16&lt;&gt;V19),2,1))</f>
      </c>
      <c r="X19" t="s" s="218">
        <f>IF(W19=1,'Ränge1'!O19,"")</f>
      </c>
      <c r="Y19" t="s" s="218">
        <f>IF(W19=2,'Ränge1'!O19,"")</f>
      </c>
      <c r="Z19" s="236">
        <f>IF($W19=1,RANK(X19,X$16:X$19),0)</f>
        <v>0</v>
      </c>
      <c r="AA19" s="259">
        <f>IF($W19=2,RANK(Y19,Y$16:Y$19),0)</f>
        <v>0</v>
      </c>
      <c r="AB19" s="257">
        <f>IF(W19&lt;&gt;"",V19+Z19+AA19-1,V19)</f>
        <v>2</v>
      </c>
      <c r="AC19" t="s" s="258">
        <f>IF(COUNTIF(AB$16:AB$19,AB19)=1,"",IF(AND(COUNT(AC$16)&gt;0,AB$16&lt;&gt;AB19),2,1))</f>
      </c>
      <c r="AD19" t="s" s="218">
        <f>IF(AC19=1,'Ränge1'!P19,"")</f>
      </c>
      <c r="AE19" t="s" s="218">
        <f>IF(AC19=2,'Ränge1'!P19,"")</f>
      </c>
      <c r="AF19" s="236">
        <f>IF($AC19=1,RANK(AD19,AD$16:AD$19),0)</f>
        <v>0</v>
      </c>
      <c r="AG19" s="259">
        <f>IF($AC19=2,RANK(AE19,AE$16:AE$19),0)</f>
        <v>0</v>
      </c>
      <c r="AH19" s="257">
        <f>IF(AC19&lt;&gt;"",AB19+AF19+AG19-1,AB19)</f>
        <v>2</v>
      </c>
      <c r="AI19" t="s" s="258">
        <f>IF(COUNTIF(AH$16:AH$19,AH19)=1,"",IF(AND(COUNT(AI$16)&gt;0,AH$16&lt;&gt;AH19),2,1))</f>
      </c>
      <c r="AJ19" t="s" s="218">
        <f>IF($AI19=1,'Ränge1'!Q19,"")</f>
      </c>
      <c r="AK19" t="s" s="218">
        <f>IF($AI19=2,'Ränge1'!Q19,"")</f>
      </c>
      <c r="AL19" s="236">
        <f>IF($AI19=1,RANK(AJ19,AJ$16:AJ$19),0)</f>
        <v>0</v>
      </c>
      <c r="AM19" s="259">
        <f>IF($AI19=2,RANK(AK19,AK$16:AK$19),0)</f>
        <v>0</v>
      </c>
      <c r="AN19" s="257">
        <f>IF(AI19&lt;&gt;"",AH19+AL19+AM19-1,AH19)</f>
        <v>2</v>
      </c>
      <c r="AO19" s="260">
        <f>AN19</f>
        <v>2</v>
      </c>
      <c r="AP19" t="s" s="258">
        <v>42</v>
      </c>
    </row>
    <row r="20" ht="15" customHeight="1">
      <c r="A20" s="244"/>
      <c r="B20" s="219"/>
      <c r="C20" s="219"/>
      <c r="D20" s="219"/>
      <c r="E20" s="219"/>
      <c r="F20" s="219"/>
      <c r="G20" s="247"/>
      <c r="H20" s="248"/>
      <c r="I20" s="249"/>
      <c r="J20" s="264"/>
      <c r="K20" s="265"/>
      <c r="L20" s="219"/>
      <c r="M20" s="219"/>
      <c r="N20" s="219"/>
      <c r="O20" s="219"/>
      <c r="P20" s="264"/>
      <c r="Q20" s="219"/>
      <c r="R20" s="219"/>
      <c r="S20" s="219"/>
      <c r="T20" s="219"/>
      <c r="U20" s="219"/>
      <c r="V20" s="264"/>
      <c r="W20" s="219"/>
      <c r="X20" s="219"/>
      <c r="Y20" s="219"/>
      <c r="Z20" s="219"/>
      <c r="AA20" s="219"/>
      <c r="AB20" s="264"/>
      <c r="AC20" s="219"/>
      <c r="AD20" s="219"/>
      <c r="AE20" s="219"/>
      <c r="AF20" s="219"/>
      <c r="AG20" s="219"/>
      <c r="AH20" s="264"/>
      <c r="AI20" s="219"/>
      <c r="AJ20" s="219"/>
      <c r="AK20" s="219"/>
      <c r="AL20" s="219"/>
      <c r="AM20" s="219"/>
      <c r="AN20" s="264"/>
      <c r="AO20" s="264"/>
      <c r="AP20" s="219"/>
    </row>
    <row r="21" ht="15" customHeight="1">
      <c r="A21" s="244"/>
      <c r="B21" s="219"/>
      <c r="C21" s="219"/>
      <c r="D21" s="219"/>
      <c r="E21" s="219"/>
      <c r="F21" s="219"/>
      <c r="G21" s="247"/>
      <c r="H21" s="248"/>
      <c r="I21" s="249"/>
      <c r="J21" s="276"/>
      <c r="K21" s="219"/>
      <c r="L21" s="219"/>
      <c r="M21" s="219"/>
      <c r="N21" s="219"/>
      <c r="O21" s="219"/>
      <c r="P21" s="276"/>
      <c r="Q21" s="219"/>
      <c r="R21" s="219"/>
      <c r="S21" s="219"/>
      <c r="T21" s="219"/>
      <c r="U21" s="219"/>
      <c r="V21" s="276"/>
      <c r="W21" s="219"/>
      <c r="X21" s="219"/>
      <c r="Y21" s="219"/>
      <c r="Z21" s="219"/>
      <c r="AA21" s="219"/>
      <c r="AB21" s="276"/>
      <c r="AC21" s="219"/>
      <c r="AD21" s="219"/>
      <c r="AE21" s="219"/>
      <c r="AF21" s="219"/>
      <c r="AG21" s="219"/>
      <c r="AH21" s="276"/>
      <c r="AI21" s="219"/>
      <c r="AJ21" s="219"/>
      <c r="AK21" s="219"/>
      <c r="AL21" s="219"/>
      <c r="AM21" s="219"/>
      <c r="AN21" s="276"/>
      <c r="AO21" s="276"/>
      <c r="AP21" s="219"/>
    </row>
    <row r="22" ht="15" customHeight="1">
      <c r="A22" t="s" s="250">
        <v>205</v>
      </c>
      <c r="B22" s="236">
        <f>IF('Tabelle'!AD31&gt;'Tabelle'!AF31,1,0)</f>
        <v>1</v>
      </c>
      <c r="C22" s="236">
        <f>IF('Tabelle'!AD33&gt;'Tabelle'!AF33,1,0)</f>
        <v>1</v>
      </c>
      <c r="D22" s="236">
        <f>IF('Tabelle'!AF35&gt;'Tabelle'!AD35,1,0)</f>
        <v>1</v>
      </c>
      <c r="E22" s="236">
        <f>IF(AND('Tabelle'!AD31='Tabelle'!AF31,'Tabelle'!AD31&lt;&gt;""),1,0)</f>
        <v>0</v>
      </c>
      <c r="F22" s="236">
        <f>IF(AND('Tabelle'!AD33='Tabelle'!AF33,'Tabelle'!AD33&lt;&gt;""),1,0)</f>
        <v>0</v>
      </c>
      <c r="G22" s="236">
        <f>IF(AND('Tabelle'!AD35='Tabelle'!AF35,'Tabelle'!AD35&lt;&gt;""),1,0)</f>
        <v>0</v>
      </c>
      <c r="H22" s="275"/>
      <c r="I22" t="s" s="256">
        <v>41</v>
      </c>
      <c r="J22" s="257">
        <f>RANK('Gruppen'!K24,'Gruppen'!K$24:K$27,0)</f>
        <v>1</v>
      </c>
      <c r="K22" t="s" s="274">
        <f>IF(COUNTIF(J$22:J$25,J22)=1,"",1)</f>
      </c>
      <c r="L22" t="s" s="218">
        <f>IF(K22=1,'Ränge1'!M22,"")</f>
      </c>
      <c r="M22" t="s" s="218">
        <f>IF(K22=2,'Ränge1'!M22,"")</f>
      </c>
      <c r="N22" s="236">
        <f>IF(K22=1,RANK(L22,L$22:L$25),0)</f>
        <v>0</v>
      </c>
      <c r="O22" s="259">
        <f>IF(K22=2,RANK(M22,M$22:M$25),0)</f>
        <v>0</v>
      </c>
      <c r="P22" s="257">
        <f>IF(K22&lt;&gt;"",J22+N22+O22-1,J22)</f>
        <v>1</v>
      </c>
      <c r="Q22" t="s" s="258">
        <f>IF(COUNTIF(P$22:P$25,P22)=1,"",1)</f>
      </c>
      <c r="R22" t="s" s="218">
        <f>IF(Q22=1,'Ränge1'!N22,"")</f>
      </c>
      <c r="S22" t="s" s="218">
        <f>IF(Q22=2,'Ränge1'!N22,"")</f>
      </c>
      <c r="T22" s="236">
        <f>IF($Q22=1,RANK(R22,R$22:R$25),0)</f>
        <v>0</v>
      </c>
      <c r="U22" s="259">
        <f>IF($Q22=2,RANK(S22,S$22:S$25),0)</f>
        <v>0</v>
      </c>
      <c r="V22" s="257">
        <f>IF(Q22&lt;&gt;"",P22+T22+U22-1,P22)</f>
        <v>1</v>
      </c>
      <c r="W22" t="s" s="258">
        <f>IF(COUNTIF(V$22:V$25,V22)=1,"",1)</f>
      </c>
      <c r="X22" t="s" s="218">
        <f>IF(W22=1,'Ränge1'!O22,"")</f>
      </c>
      <c r="Y22" t="s" s="218">
        <f>IF(W22=2,'Ränge1'!O22,"")</f>
      </c>
      <c r="Z22" s="236">
        <f>IF($W22=1,RANK(X22,X$22:X$25),0)</f>
        <v>0</v>
      </c>
      <c r="AA22" s="259">
        <f>IF($W22=2,RANK(Y22,Y$22:Y$25),0)</f>
        <v>0</v>
      </c>
      <c r="AB22" s="257">
        <f>IF(W22&lt;&gt;"",V22+Z22+AA22-1,V22)</f>
        <v>1</v>
      </c>
      <c r="AC22" t="s" s="258">
        <f>IF(COUNTIF(AB$22:AB$25,AB22)=1,"",1)</f>
      </c>
      <c r="AD22" t="s" s="218">
        <f>IF(AC22=1,'Ränge1'!P22,"")</f>
      </c>
      <c r="AE22" t="s" s="218">
        <f>IF(AC22=2,'Ränge1'!P22,"")</f>
      </c>
      <c r="AF22" s="236">
        <f>IF($AC22=1,RANK(AD22,AD$22:AD$25),0)</f>
        <v>0</v>
      </c>
      <c r="AG22" s="259">
        <f>IF($AC22=2,RANK(AE22,AE$22:AE$25),0)</f>
        <v>0</v>
      </c>
      <c r="AH22" s="257">
        <f>IF(AC22&lt;&gt;"",AB22+AF22+AG22-1,AB22)</f>
        <v>1</v>
      </c>
      <c r="AI22" t="s" s="258">
        <f>IF(COUNTIF(AH$22:AH$25,AH22)=1,"",1)</f>
      </c>
      <c r="AJ22" t="s" s="218">
        <f>IF($AI22=1,'Ränge1'!Q22,"")</f>
      </c>
      <c r="AK22" t="s" s="218">
        <f>IF($AI22=2,'Ränge1'!Q22,"")</f>
      </c>
      <c r="AL22" s="236">
        <f>IF($AI22=1,RANK(AJ22,AJ$22:AJ$25),0)</f>
        <v>0</v>
      </c>
      <c r="AM22" s="259">
        <f>IF($AI22=2,RANK(AK22,AK$22:AK$25),0)</f>
        <v>0</v>
      </c>
      <c r="AN22" s="257">
        <f>IF(AI22&lt;&gt;"",AH22+AL22+AM22-1,AH22)</f>
        <v>1</v>
      </c>
      <c r="AO22" s="260">
        <f>AN22</f>
        <v>1</v>
      </c>
      <c r="AP22" t="s" s="258">
        <v>41</v>
      </c>
    </row>
    <row r="23" ht="15" customHeight="1">
      <c r="A23" t="s" s="250">
        <v>206</v>
      </c>
      <c r="B23" s="236">
        <f>IF('Tabelle'!AF31&gt;'Tabelle'!AD31,1,0)</f>
        <v>0</v>
      </c>
      <c r="C23" s="236">
        <f>IF('Tabelle'!AD34&lt;'Tabelle'!AF34,1,0)</f>
        <v>0</v>
      </c>
      <c r="D23" s="236">
        <f>IF('Tabelle'!AD36&gt;'Tabelle'!AF36,1,0)</f>
        <v>0</v>
      </c>
      <c r="E23" s="236">
        <f>IF(AND('Tabelle'!AD31='Tabelle'!AF31,'Tabelle'!AD31&lt;&gt;""),1,0)</f>
        <v>0</v>
      </c>
      <c r="F23" s="236">
        <f>IF(AND('Tabelle'!AD34='Tabelle'!AF34,'Tabelle'!AD34&lt;&gt;""),1,0)</f>
        <v>0</v>
      </c>
      <c r="G23" s="236">
        <f>IF(AND('Tabelle'!AD36='Tabelle'!AF36,'Tabelle'!AD36&lt;&gt;""),1,0)</f>
        <v>0</v>
      </c>
      <c r="H23" s="275"/>
      <c r="I23" t="s" s="256">
        <v>47</v>
      </c>
      <c r="J23" s="257">
        <f>RANK('Gruppen'!K25,'Gruppen'!K$24:K$27,0)</f>
        <v>4</v>
      </c>
      <c r="K23" t="s" s="274">
        <f>IF(COUNTIF(J$22:J$25,J23)=1,"",IF(AND(COUNT(K$22)&gt;0,J$22&lt;&gt;J23),2,1))</f>
      </c>
      <c r="L23" t="s" s="218">
        <f>IF(K23=1,'Ränge1'!M23,"")</f>
      </c>
      <c r="M23" t="s" s="218">
        <f>IF(K23=2,'Ränge1'!M23,"")</f>
      </c>
      <c r="N23" s="236">
        <f>IF(K23=1,RANK(L23,L$22:L$25),0)</f>
        <v>0</v>
      </c>
      <c r="O23" s="259">
        <f>IF(K23=2,RANK(M23,M$22:M$25),0)</f>
        <v>0</v>
      </c>
      <c r="P23" s="257">
        <f>IF(K23&lt;&gt;"",J23+N23+O23-1,J23)</f>
        <v>4</v>
      </c>
      <c r="Q23" t="s" s="258">
        <f>IF(COUNTIF(P$22:P$25,P23)=1,"",IF(AND(COUNT(Q$22)&gt;0,P$22&lt;&gt;P23),2,1))</f>
      </c>
      <c r="R23" t="s" s="218">
        <f>IF(Q23=1,'Ränge1'!N23,"")</f>
      </c>
      <c r="S23" t="s" s="218">
        <f>IF(Q23=2,'Ränge1'!N23,"")</f>
      </c>
      <c r="T23" s="236">
        <f>IF($Q23=1,RANK(R23,R$22:R$25),0)</f>
        <v>0</v>
      </c>
      <c r="U23" s="259">
        <f>IF($Q23=2,RANK(S23,S$22:S$25),0)</f>
        <v>0</v>
      </c>
      <c r="V23" s="257">
        <f>IF(Q23&lt;&gt;"",P23+T23+U23-1,P23)</f>
        <v>4</v>
      </c>
      <c r="W23" t="s" s="258">
        <f>IF(COUNTIF(V$22:V$25,V23)=1,"",IF(AND(COUNT(W$22)&gt;0,V$22&lt;&gt;V23),2,1))</f>
      </c>
      <c r="X23" t="s" s="218">
        <f>IF(W23=1,'Ränge1'!O23,"")</f>
      </c>
      <c r="Y23" t="s" s="218">
        <f>IF(W23=2,'Ränge1'!O23,"")</f>
      </c>
      <c r="Z23" s="236">
        <f>IF($W23=1,RANK(X23,X$22:X$25),0)</f>
        <v>0</v>
      </c>
      <c r="AA23" s="259">
        <f>IF($W23=2,RANK(Y23,Y$22:Y$25),0)</f>
        <v>0</v>
      </c>
      <c r="AB23" s="257">
        <f>IF(W23&lt;&gt;"",V23+Z23+AA23-1,V23)</f>
        <v>4</v>
      </c>
      <c r="AC23" t="s" s="258">
        <f>IF(COUNTIF(AB$22:AB$25,AB23)=1,"",IF(AND(COUNT(AC$22)&gt;0,AB$22&lt;&gt;AB23),2,1))</f>
      </c>
      <c r="AD23" t="s" s="218">
        <f>IF(AC23=1,'Ränge1'!P23,"")</f>
      </c>
      <c r="AE23" t="s" s="218">
        <f>IF(AC23=2,'Ränge1'!P23,"")</f>
      </c>
      <c r="AF23" s="236">
        <f>IF($AC23=1,RANK(AD23,AD$22:AD$25),0)</f>
        <v>0</v>
      </c>
      <c r="AG23" s="259">
        <f>IF($AC23=2,RANK(AE23,AE$22:AE$25),0)</f>
        <v>0</v>
      </c>
      <c r="AH23" s="257">
        <f>IF(AC23&lt;&gt;"",AB23+AF23+AG23-1,AB23)</f>
        <v>4</v>
      </c>
      <c r="AI23" t="s" s="258">
        <f>IF(COUNTIF(AH$22:AH$25,AH23)=1,"",IF(AND(COUNT(AI$22)&gt;0,AH$22&lt;&gt;AH23),2,1))</f>
      </c>
      <c r="AJ23" t="s" s="218">
        <f>IF($AI23=1,'Ränge1'!Q23,"")</f>
      </c>
      <c r="AK23" t="s" s="218">
        <f>IF($AI23=2,'Ränge1'!Q23,"")</f>
      </c>
      <c r="AL23" s="236">
        <f>IF($AI23=1,RANK(AJ23,AJ$22:AJ$25),0)</f>
        <v>0</v>
      </c>
      <c r="AM23" s="259">
        <f>IF($AI23=2,RANK(AK23,AK$22:AK$25),0)</f>
        <v>0</v>
      </c>
      <c r="AN23" s="257">
        <f>IF(AI23&lt;&gt;"",AH23+AL23+AM23-1,AH23)</f>
        <v>4</v>
      </c>
      <c r="AO23" s="260">
        <f>AN23</f>
        <v>4</v>
      </c>
      <c r="AP23" t="s" s="258">
        <v>47</v>
      </c>
    </row>
    <row r="24" ht="15" customHeight="1">
      <c r="A24" t="s" s="250">
        <v>207</v>
      </c>
      <c r="B24" s="236">
        <f>IF('Tabelle'!AD32&gt;'Tabelle'!AF32,1,0)</f>
        <v>0</v>
      </c>
      <c r="C24" s="236">
        <f>IF('Tabelle'!AF33&gt;'Tabelle'!AD33,1,0)</f>
        <v>0</v>
      </c>
      <c r="D24" s="236">
        <f>IF('Tabelle'!AF36&gt;'Tabelle'!AD36,1,0)</f>
        <v>1</v>
      </c>
      <c r="E24" s="236">
        <f>IF(AND('Tabelle'!AD32='Tabelle'!AF32,'Tabelle'!AD32&lt;&gt;""),1,0)</f>
        <v>1</v>
      </c>
      <c r="F24" s="236">
        <f>IF(AND('Tabelle'!AD33='Tabelle'!AF33,'Tabelle'!AD33&lt;&gt;""),1,0)</f>
        <v>0</v>
      </c>
      <c r="G24" s="236">
        <f>IF(AND('Tabelle'!AD36='Tabelle'!AF36,'Tabelle'!AD36&lt;&gt;""),1,0)</f>
        <v>0</v>
      </c>
      <c r="H24" s="275"/>
      <c r="I24" t="s" s="256">
        <v>43</v>
      </c>
      <c r="J24" s="257">
        <f>RANK('Gruppen'!K26,'Gruppen'!K$24:K$27,0)</f>
        <v>2</v>
      </c>
      <c r="K24" s="277">
        <f>IF(COUNTIF(J$22:J$25,J24)=1,"",IF(AND(COUNT(K$22)&gt;0,J$22&lt;&gt;J24),2,1))</f>
        <v>1</v>
      </c>
      <c r="L24" s="236">
        <f>IF(K24=1,'Ränge1'!M24,"")</f>
        <v>0</v>
      </c>
      <c r="M24" t="s" s="218">
        <f>IF(K24=2,'Ränge1'!M24,"")</f>
      </c>
      <c r="N24" s="236">
        <f>IF(K24=1,RANK(L24,L$22:L$25),0)</f>
        <v>1</v>
      </c>
      <c r="O24" s="259">
        <f>IF(K24=2,RANK(M24,M$22:M$25),0)</f>
        <v>0</v>
      </c>
      <c r="P24" s="257">
        <f>IF(K24&lt;&gt;"",J24+N24+O24-1,J24)</f>
        <v>2</v>
      </c>
      <c r="Q24" s="278">
        <f>IF(COUNTIF(P$22:P$25,P24)=1,"",IF(AND(COUNT(Q$22)&gt;0,P$22&lt;&gt;P24),2,1))</f>
        <v>1</v>
      </c>
      <c r="R24" s="236">
        <f>IF(Q24=1,'Ränge1'!N24,"")</f>
        <v>5</v>
      </c>
      <c r="S24" t="s" s="218">
        <f>IF(Q24=2,'Ränge1'!N24,"")</f>
      </c>
      <c r="T24" s="236">
        <f>IF($Q24=1,RANK(R24,R$22:R$25),0)</f>
        <v>1</v>
      </c>
      <c r="U24" s="259">
        <f>IF($Q24=2,RANK(S24,S$22:S$25),0)</f>
        <v>0</v>
      </c>
      <c r="V24" s="257">
        <f>IF(Q24&lt;&gt;"",P24+T24+U24-1,P24)</f>
        <v>2</v>
      </c>
      <c r="W24" t="s" s="258">
        <f>IF(COUNTIF(V$22:V$25,V24)=1,"",IF(AND(COUNT(W$22)&gt;0,V$22&lt;&gt;V24),2,1))</f>
      </c>
      <c r="X24" t="s" s="218">
        <f>IF(W24=1,'Ränge1'!O24,"")</f>
      </c>
      <c r="Y24" t="s" s="218">
        <f>IF(W24=2,'Ränge1'!O24,"")</f>
      </c>
      <c r="Z24" s="236">
        <f>IF($W24=1,RANK(X24,X$22:X$25),0)</f>
        <v>0</v>
      </c>
      <c r="AA24" s="259">
        <f>IF($W24=2,RANK(Y24,Y$22:Y$25),0)</f>
        <v>0</v>
      </c>
      <c r="AB24" s="257">
        <f>IF(W24&lt;&gt;"",V24+Z24+AA24-1,V24)</f>
        <v>2</v>
      </c>
      <c r="AC24" t="s" s="258">
        <f>IF(COUNTIF(AB$22:AB$25,AB24)=1,"",IF(AND(COUNT(AC$22)&gt;0,AB$22&lt;&gt;AB24),2,1))</f>
      </c>
      <c r="AD24" t="s" s="218">
        <f>IF(AC24=1,'Ränge1'!P24,"")</f>
      </c>
      <c r="AE24" t="s" s="218">
        <f>IF(AC24=2,'Ränge1'!P24,"")</f>
      </c>
      <c r="AF24" s="236">
        <f>IF($AC24=1,RANK(AD24,AD$22:AD$25),0)</f>
        <v>0</v>
      </c>
      <c r="AG24" s="259">
        <f>IF($AC24=2,RANK(AE24,AE$22:AE$25),0)</f>
        <v>0</v>
      </c>
      <c r="AH24" s="257">
        <f>IF(AC24&lt;&gt;"",AB24+AF24+AG24-1,AB24)</f>
        <v>2</v>
      </c>
      <c r="AI24" t="s" s="258">
        <f>IF(COUNTIF(AH$22:AH$25,AH24)=1,"",IF(AND(COUNT(AI$22)&gt;0,AH$22&lt;&gt;AH24),2,1))</f>
      </c>
      <c r="AJ24" t="s" s="218">
        <f>IF($AI24=1,'Ränge1'!Q24,"")</f>
      </c>
      <c r="AK24" t="s" s="218">
        <f>IF($AI24=2,'Ränge1'!Q24,"")</f>
      </c>
      <c r="AL24" s="236">
        <f>IF($AI24=1,RANK(AJ24,AJ$22:AJ$25),0)</f>
        <v>0</v>
      </c>
      <c r="AM24" s="259">
        <f>IF($AI24=2,RANK(AK24,AK$22:AK$25),0)</f>
        <v>0</v>
      </c>
      <c r="AN24" s="257">
        <f>IF(AI24&lt;&gt;"",AH24+AL24+AM24-1,AH24)</f>
        <v>2</v>
      </c>
      <c r="AO24" s="260">
        <f>AN24</f>
        <v>2</v>
      </c>
      <c r="AP24" t="s" s="258">
        <v>43</v>
      </c>
    </row>
    <row r="25" ht="15" customHeight="1">
      <c r="A25" t="s" s="250">
        <v>208</v>
      </c>
      <c r="B25" s="236">
        <f>IF('Tabelle'!AF32&gt;'Tabelle'!AD32,1,0)</f>
        <v>0</v>
      </c>
      <c r="C25" s="236">
        <f>IF('Tabelle'!AF34&lt;'Tabelle'!AD34,1,0)</f>
        <v>1</v>
      </c>
      <c r="D25" s="236">
        <f>IF('Tabelle'!AD35&gt;'Tabelle'!AF35,1,0)</f>
        <v>0</v>
      </c>
      <c r="E25" s="236">
        <f>IF(AND('Tabelle'!AD32='Tabelle'!AF32,'Tabelle'!AD32&lt;&gt;""),1,0)</f>
        <v>1</v>
      </c>
      <c r="F25" s="236">
        <f>IF(AND('Tabelle'!AD34='Tabelle'!AF34,'Tabelle'!AD34&lt;&gt;""),1,0)</f>
        <v>0</v>
      </c>
      <c r="G25" s="236">
        <f>IF(AND('Tabelle'!AD35='Tabelle'!AF35,'Tabelle'!AD35&lt;&gt;""),1,0)</f>
        <v>0</v>
      </c>
      <c r="H25" s="275"/>
      <c r="I25" t="s" s="256">
        <v>45</v>
      </c>
      <c r="J25" s="257">
        <f>RANK('Gruppen'!K27,'Gruppen'!K$24:K$27,0)</f>
        <v>2</v>
      </c>
      <c r="K25" s="277">
        <f>IF(COUNTIF(J$22:J$25,J25)=1,"",IF(AND(COUNT(K$22)&gt;0,J$22&lt;&gt;J25),2,1))</f>
        <v>1</v>
      </c>
      <c r="L25" s="236">
        <f>IF(K25=1,'Ränge1'!M25,"")</f>
        <v>0</v>
      </c>
      <c r="M25" t="s" s="218">
        <f>IF(K25=2,'Ränge1'!M25,"")</f>
      </c>
      <c r="N25" s="236">
        <f>IF(K25=1,RANK(L25,L$22:L$25),0)</f>
        <v>1</v>
      </c>
      <c r="O25" s="259">
        <f>IF(K25=2,RANK(M25,M$22:M$25),0)</f>
        <v>0</v>
      </c>
      <c r="P25" s="257">
        <f>IF(K25&lt;&gt;"",J25+N25+O25-1,J25)</f>
        <v>2</v>
      </c>
      <c r="Q25" s="278">
        <f>IF(COUNTIF(P$22:P$25,P25)=1,"",IF(AND(COUNT(Q$22)&gt;0,P$22&lt;&gt;P25),2,1))</f>
        <v>1</v>
      </c>
      <c r="R25" s="236">
        <f>IF(Q25=1,'Ränge1'!N25,"")</f>
        <v>4</v>
      </c>
      <c r="S25" t="s" s="218">
        <f>IF(Q25=2,'Ränge1'!N25,"")</f>
      </c>
      <c r="T25" s="236">
        <f>IF($Q25=1,RANK(R25,R$22:R$25),0)</f>
        <v>2</v>
      </c>
      <c r="U25" s="259">
        <f>IF($Q25=2,RANK(S25,S$22:S$25),0)</f>
        <v>0</v>
      </c>
      <c r="V25" s="257">
        <f>IF(Q25&lt;&gt;"",P25+T25+U25-1,P25)</f>
        <v>3</v>
      </c>
      <c r="W25" t="s" s="258">
        <f>IF(COUNTIF(V$22:V$25,V25)=1,"",IF(AND(COUNT(W$22)&gt;0,V$22&lt;&gt;V25),2,1))</f>
      </c>
      <c r="X25" t="s" s="218">
        <f>IF(W25=1,'Ränge1'!O25,"")</f>
      </c>
      <c r="Y25" t="s" s="218">
        <f>IF(W25=2,'Ränge1'!O25,"")</f>
      </c>
      <c r="Z25" s="236">
        <f>IF($W25=1,RANK(X25,X$22:X$25),0)</f>
        <v>0</v>
      </c>
      <c r="AA25" s="259">
        <f>IF($W25=2,RANK(Y25,Y$22:Y$25),0)</f>
        <v>0</v>
      </c>
      <c r="AB25" s="257">
        <f>IF(W25&lt;&gt;"",V25+Z25+AA25-1,V25)</f>
        <v>3</v>
      </c>
      <c r="AC25" t="s" s="258">
        <f>IF(COUNTIF(AB$22:AB$25,AB25)=1,"",IF(AND(COUNT(AC$22)&gt;0,AB$22&lt;&gt;AB25),2,1))</f>
      </c>
      <c r="AD25" t="s" s="218">
        <f>IF(AC25=1,'Ränge1'!P25,"")</f>
      </c>
      <c r="AE25" t="s" s="218">
        <f>IF(AC25=2,'Ränge1'!P25,"")</f>
      </c>
      <c r="AF25" s="236">
        <f>IF($AC25=1,RANK(AD25,AD$22:AD$25),0)</f>
        <v>0</v>
      </c>
      <c r="AG25" s="259">
        <f>IF($AC25=2,RANK(AE25,AE$22:AE$25),0)</f>
        <v>0</v>
      </c>
      <c r="AH25" s="257">
        <f>IF(AC25&lt;&gt;"",AB25+AF25+AG25-1,AB25)</f>
        <v>3</v>
      </c>
      <c r="AI25" t="s" s="258">
        <f>IF(COUNTIF(AH$22:AH$25,AH25)=1,"",IF(AND(COUNT(AI$22)&gt;0,AH$22&lt;&gt;AH25),2,1))</f>
      </c>
      <c r="AJ25" t="s" s="218">
        <f>IF($AI25=1,'Ränge1'!Q25,"")</f>
      </c>
      <c r="AK25" t="s" s="218">
        <f>IF($AI25=2,'Ränge1'!Q25,"")</f>
      </c>
      <c r="AL25" s="236">
        <f>IF($AI25=1,RANK(AJ25,AJ$22:AJ$25),0)</f>
        <v>0</v>
      </c>
      <c r="AM25" s="259">
        <f>IF($AI25=2,RANK(AK25,AK$22:AK$25),0)</f>
        <v>0</v>
      </c>
      <c r="AN25" s="257">
        <f>IF(AI25&lt;&gt;"",AH25+AL25+AM25-1,AH25)</f>
        <v>3</v>
      </c>
      <c r="AO25" s="260">
        <f>AN25</f>
        <v>3</v>
      </c>
      <c r="AP25" t="s" s="258">
        <v>45</v>
      </c>
    </row>
    <row r="26" ht="15" customHeight="1">
      <c r="A26" s="244"/>
      <c r="B26" s="219"/>
      <c r="C26" s="219"/>
      <c r="D26" s="219"/>
      <c r="E26" s="219"/>
      <c r="F26" s="219"/>
      <c r="G26" s="247"/>
      <c r="H26" s="248"/>
      <c r="I26" s="249"/>
      <c r="J26" s="264"/>
      <c r="K26" s="219"/>
      <c r="L26" s="219"/>
      <c r="M26" s="219"/>
      <c r="N26" s="219"/>
      <c r="O26" s="219"/>
      <c r="P26" s="264"/>
      <c r="Q26" s="219"/>
      <c r="R26" s="219"/>
      <c r="S26" s="219"/>
      <c r="T26" s="219"/>
      <c r="U26" s="219"/>
      <c r="V26" s="264"/>
      <c r="W26" s="219"/>
      <c r="X26" s="219"/>
      <c r="Y26" s="219"/>
      <c r="Z26" s="219"/>
      <c r="AA26" s="219"/>
      <c r="AB26" s="264"/>
      <c r="AC26" s="219"/>
      <c r="AD26" s="219"/>
      <c r="AE26" s="219"/>
      <c r="AF26" s="219"/>
      <c r="AG26" s="219"/>
      <c r="AH26" s="264"/>
      <c r="AI26" s="219"/>
      <c r="AJ26" s="219"/>
      <c r="AK26" s="219"/>
      <c r="AL26" s="219"/>
      <c r="AM26" s="219"/>
      <c r="AN26" s="264"/>
      <c r="AO26" s="264"/>
      <c r="AP26" s="219"/>
    </row>
    <row r="27" ht="15" customHeight="1">
      <c r="A27" s="244"/>
      <c r="B27" s="219"/>
      <c r="C27" s="219"/>
      <c r="D27" s="219"/>
      <c r="E27" s="219"/>
      <c r="F27" s="219"/>
      <c r="G27" s="247"/>
      <c r="H27" s="248"/>
      <c r="I27" s="249"/>
      <c r="J27" s="276"/>
      <c r="K27" s="219"/>
      <c r="L27" s="219"/>
      <c r="M27" s="219"/>
      <c r="N27" s="219"/>
      <c r="O27" s="219"/>
      <c r="P27" s="276"/>
      <c r="Q27" s="219"/>
      <c r="R27" s="219"/>
      <c r="S27" s="219"/>
      <c r="T27" s="219"/>
      <c r="U27" s="219"/>
      <c r="V27" s="276"/>
      <c r="W27" s="219"/>
      <c r="X27" s="219"/>
      <c r="Y27" s="219"/>
      <c r="Z27" s="219"/>
      <c r="AA27" s="219"/>
      <c r="AB27" s="276"/>
      <c r="AC27" s="219"/>
      <c r="AD27" s="219"/>
      <c r="AE27" s="219"/>
      <c r="AF27" s="219"/>
      <c r="AG27" s="219"/>
      <c r="AH27" s="276"/>
      <c r="AI27" s="219"/>
      <c r="AJ27" s="219"/>
      <c r="AK27" s="219"/>
      <c r="AL27" s="219"/>
      <c r="AM27" s="219"/>
      <c r="AN27" s="276"/>
      <c r="AO27" s="276"/>
      <c r="AP27" s="219"/>
    </row>
    <row r="28" ht="15" customHeight="1">
      <c r="A28" t="s" s="250">
        <v>209</v>
      </c>
      <c r="B28" s="236">
        <f>IF('Tabelle'!M49&gt;'Tabelle'!O49,1,0)</f>
        <v>1</v>
      </c>
      <c r="C28" s="236">
        <f>IF('Tabelle'!M50&gt;'Tabelle'!O50,1,0)</f>
        <v>1</v>
      </c>
      <c r="D28" s="236">
        <f>IF('Tabelle'!O52&gt;'Tabelle'!M52,1,0)</f>
        <v>1</v>
      </c>
      <c r="E28" s="236">
        <f>IF(AND('Tabelle'!M49='Tabelle'!O49,'Tabelle'!M49&lt;&gt;""),1,0)</f>
        <v>0</v>
      </c>
      <c r="F28" s="236">
        <f>IF(AND('Tabelle'!M50='Tabelle'!O50,'Tabelle'!M50&lt;&gt;""),1,0)</f>
        <v>0</v>
      </c>
      <c r="G28" s="236">
        <f>IF(AND('Tabelle'!M52='Tabelle'!O52,'Tabelle'!M52&lt;&gt;""),1,0)</f>
        <v>0</v>
      </c>
      <c r="H28" s="275"/>
      <c r="I28" t="s" s="256">
        <v>57</v>
      </c>
      <c r="J28" s="257">
        <f>RANK('Gruppen'!K30,'Gruppen'!K$30:K$33,0)</f>
        <v>1</v>
      </c>
      <c r="K28" t="s" s="274">
        <f>IF(COUNTIF(J$28:J$31,J28)=1,"",1)</f>
      </c>
      <c r="L28" t="s" s="218">
        <f>IF(K28=1,'Ränge1'!M28,"")</f>
      </c>
      <c r="M28" t="s" s="218">
        <f>IF(K28=2,'Ränge1'!M28,"")</f>
      </c>
      <c r="N28" s="236">
        <f>IF(K28=1,RANK(L28,L$28:L$31),0)</f>
        <v>0</v>
      </c>
      <c r="O28" s="259">
        <f>IF(K28=2,RANK(M28,M$28:M$31),0)</f>
        <v>0</v>
      </c>
      <c r="P28" s="257">
        <f>IF(K28&lt;&gt;"",J28+N28+O28-1,J28)</f>
        <v>1</v>
      </c>
      <c r="Q28" t="s" s="258">
        <f>IF(COUNTIF(P$28:P$31,P28)=1,"",1)</f>
      </c>
      <c r="R28" t="s" s="218">
        <f>IF(Q28=1,'Ränge1'!N28,"")</f>
      </c>
      <c r="S28" t="s" s="218">
        <f>IF(Q28=2,'Ränge1'!N28,"")</f>
      </c>
      <c r="T28" s="236">
        <f>IF($Q28=1,RANK(R28,R$28:R$31),0)</f>
        <v>0</v>
      </c>
      <c r="U28" s="259">
        <f>IF($Q28=2,RANK(S28,S$28:S$31),0)</f>
        <v>0</v>
      </c>
      <c r="V28" s="257">
        <f>IF(Q28&lt;&gt;"",P28+T28+U28-1,P28)</f>
        <v>1</v>
      </c>
      <c r="W28" t="s" s="258">
        <f>IF(COUNTIF(V$28:V$31,V28)=1,"",1)</f>
      </c>
      <c r="X28" t="s" s="218">
        <f>IF(W28=1,'Ränge1'!O28,"")</f>
      </c>
      <c r="Y28" t="s" s="218">
        <f>IF(W28=2,'Ränge1'!O28,"")</f>
      </c>
      <c r="Z28" s="236">
        <f>IF($W28=1,RANK(X28,X$28:X$31),0)</f>
        <v>0</v>
      </c>
      <c r="AA28" s="259">
        <f>IF($W28=2,RANK(Y28,Y$28:Y$31),0)</f>
        <v>0</v>
      </c>
      <c r="AB28" s="257">
        <f>IF(W28&lt;&gt;"",V28+Z28+AA28-1,V28)</f>
        <v>1</v>
      </c>
      <c r="AC28" t="s" s="258">
        <f>IF(COUNTIF(AB$28:AB$31,AB28)=1,"",1)</f>
      </c>
      <c r="AD28" t="s" s="218">
        <f>IF(AC28=1,'Ränge1'!P28,"")</f>
      </c>
      <c r="AE28" t="s" s="218">
        <f>IF(AC28=2,'Ränge1'!P28,"")</f>
      </c>
      <c r="AF28" s="236">
        <f>IF($AC28=1,RANK(AD28,AD$28:AD$31),0)</f>
        <v>0</v>
      </c>
      <c r="AG28" s="259">
        <f>IF($AC28=2,RANK(AE28,AE$28:AE$31),0)</f>
        <v>0</v>
      </c>
      <c r="AH28" s="257">
        <f>IF(AC28&lt;&gt;"",AB28+AF28+AG28-1,AB28)</f>
        <v>1</v>
      </c>
      <c r="AI28" t="s" s="258">
        <f>IF(COUNTIF(AH$28:AH$31,AH28)=1,"",1)</f>
      </c>
      <c r="AJ28" t="s" s="218">
        <f>IF($AI28=1,'Ränge1'!Q28,"")</f>
      </c>
      <c r="AK28" t="s" s="218">
        <f>IF($AI28=2,'Ränge1'!Q28,"")</f>
      </c>
      <c r="AL28" s="236">
        <f>IF($AI28=1,RANK(AJ28,AJ$28:AJ$31),0)</f>
        <v>0</v>
      </c>
      <c r="AM28" s="259">
        <f>IF($AI28=2,RANK(AK28,AK$28:AK$31),0)</f>
        <v>0</v>
      </c>
      <c r="AN28" s="257">
        <f>IF(AI28&lt;&gt;"",AH28+AL28+AM28-1,AH28)</f>
        <v>1</v>
      </c>
      <c r="AO28" s="260">
        <f>AN28</f>
        <v>1</v>
      </c>
      <c r="AP28" t="s" s="258">
        <v>57</v>
      </c>
    </row>
    <row r="29" ht="15" customHeight="1">
      <c r="A29" t="s" s="250">
        <v>210</v>
      </c>
      <c r="B29" s="236">
        <f>IF('Tabelle'!O49&gt;'Tabelle'!M49,1,0)</f>
        <v>0</v>
      </c>
      <c r="C29" s="236">
        <f>IF('Tabelle'!M51&lt;'Tabelle'!O51,1,0)</f>
        <v>0</v>
      </c>
      <c r="D29" s="236">
        <f>IF('Tabelle'!M53&gt;'Tabelle'!O53,1,0)</f>
        <v>1</v>
      </c>
      <c r="E29" s="236">
        <f>IF(AND('Tabelle'!M49='Tabelle'!O49,'Tabelle'!M49&lt;&gt;""),1,0)</f>
        <v>0</v>
      </c>
      <c r="F29" s="236">
        <f>IF(AND('Tabelle'!M51='Tabelle'!O51,'Tabelle'!M51&lt;&gt;""),1,0)</f>
        <v>0</v>
      </c>
      <c r="G29" s="236">
        <f>IF(AND('Tabelle'!M53='Tabelle'!O53,'Tabelle'!M53&lt;&gt;""),1,0)</f>
        <v>0</v>
      </c>
      <c r="H29" s="275"/>
      <c r="I29" t="s" s="256">
        <v>61</v>
      </c>
      <c r="J29" s="257">
        <f>RANK('Gruppen'!K31,'Gruppen'!K$30:K$33,0)</f>
        <v>3</v>
      </c>
      <c r="K29" t="s" s="258">
        <f>IF(COUNTIF(J$28:J$31,J29)=1,"",IF(AND(COUNT(K$28)&gt;0,J$28&lt;&gt;J29),2,1))</f>
      </c>
      <c r="L29" t="s" s="218">
        <f>IF(K29=1,'Ränge1'!M29,"")</f>
      </c>
      <c r="M29" t="s" s="218">
        <f>IF(K29=2,'Ränge1'!M29,"")</f>
      </c>
      <c r="N29" s="236">
        <f>IF(K29=1,RANK(L29,L$28:L$31),0)</f>
        <v>0</v>
      </c>
      <c r="O29" s="259">
        <f>IF(K29=2,RANK(M29,M$28:M$31),0)</f>
        <v>0</v>
      </c>
      <c r="P29" s="257">
        <f>IF(K29&lt;&gt;"",J29+N29+O29-1,J29)</f>
        <v>3</v>
      </c>
      <c r="Q29" t="s" s="258">
        <f>IF(COUNTIF(P$28:P$31,P29)=1,"",IF(AND(COUNT(Q$28)&gt;0,P$28&lt;&gt;P29),2,1))</f>
      </c>
      <c r="R29" t="s" s="218">
        <f>IF(Q29=1,'Ränge1'!N29,"")</f>
      </c>
      <c r="S29" t="s" s="218">
        <f>IF(Q29=2,'Ränge1'!N29,"")</f>
      </c>
      <c r="T29" s="236">
        <f>IF($Q29=1,RANK(R29,R$28:R$31),0)</f>
        <v>0</v>
      </c>
      <c r="U29" s="259">
        <f>IF($Q29=2,RANK(S29,S$28:S$31),0)</f>
        <v>0</v>
      </c>
      <c r="V29" s="257">
        <f>IF(Q29&lt;&gt;"",P29+T29+U29-1,P29)</f>
        <v>3</v>
      </c>
      <c r="W29" t="s" s="258">
        <f>IF(COUNTIF(V$28:V$31,V29)=1,"",IF(AND(COUNT(W$28)&gt;0,V$28&lt;&gt;V29),2,1))</f>
      </c>
      <c r="X29" t="s" s="218">
        <f>IF(W29=1,'Ränge1'!O29,"")</f>
      </c>
      <c r="Y29" t="s" s="218">
        <f>IF(W29=2,'Ränge1'!O29,"")</f>
      </c>
      <c r="Z29" s="236">
        <f>IF($W29=1,RANK(X29,X$28:X$31),0)</f>
        <v>0</v>
      </c>
      <c r="AA29" s="259">
        <f>IF($W29=2,RANK(Y29,Y$28:Y$31),0)</f>
        <v>0</v>
      </c>
      <c r="AB29" s="257">
        <f>IF(W29&lt;&gt;"",V29+Z29+AA29-1,V29)</f>
        <v>3</v>
      </c>
      <c r="AC29" t="s" s="258">
        <f>IF(COUNTIF(AB$28:AB$31,AB29)=1,"",IF(AND(COUNT(AC$28)&gt;0,AB$28&lt;&gt;AB29),2,1))</f>
      </c>
      <c r="AD29" t="s" s="218">
        <f>IF(AC29=1,'Ränge1'!P29,"")</f>
      </c>
      <c r="AE29" t="s" s="218">
        <f>IF(AC29=2,'Ränge1'!P29,"")</f>
      </c>
      <c r="AF29" s="236">
        <f>IF($AC29=1,RANK(AD29,AD$28:AD$31),0)</f>
        <v>0</v>
      </c>
      <c r="AG29" s="259">
        <f>IF($AC29=2,RANK(AE29,AE$28:AE$31),0)</f>
        <v>0</v>
      </c>
      <c r="AH29" s="257">
        <f>IF(AC29&lt;&gt;"",AB29+AF29+AG29-1,AB29)</f>
        <v>3</v>
      </c>
      <c r="AI29" t="s" s="258">
        <f>IF(COUNTIF(AH$28:AH$31,AH29)=1,"",IF(AND(COUNT(AI$28)&gt;0,AH$28&lt;&gt;AH29),2,1))</f>
      </c>
      <c r="AJ29" t="s" s="218">
        <f>IF($AI29=1,'Ränge1'!Q29,"")</f>
      </c>
      <c r="AK29" t="s" s="218">
        <f>IF($AI29=2,'Ränge1'!Q29,"")</f>
      </c>
      <c r="AL29" s="236">
        <f>IF($AI29=1,RANK(AJ29,AJ$28:AJ$31),0)</f>
        <v>0</v>
      </c>
      <c r="AM29" s="259">
        <f>IF($AI29=2,RANK(AK29,AK$28:AK$31),0)</f>
        <v>0</v>
      </c>
      <c r="AN29" s="257">
        <f>IF(AI29&lt;&gt;"",AH29+AL29+AM29-1,AH29)</f>
        <v>3</v>
      </c>
      <c r="AO29" s="260">
        <f>AN29</f>
        <v>3</v>
      </c>
      <c r="AP29" t="s" s="258">
        <v>61</v>
      </c>
    </row>
    <row r="30" ht="15" customHeight="1">
      <c r="A30" t="s" s="250">
        <v>211</v>
      </c>
      <c r="B30" s="236">
        <f>IF('Tabelle'!M48&gt;'Tabelle'!O48,1,0)</f>
        <v>0</v>
      </c>
      <c r="C30" s="236">
        <f>IF('Tabelle'!O50&gt;'Tabelle'!M50,1,0)</f>
        <v>0</v>
      </c>
      <c r="D30" s="236">
        <f>IF('Tabelle'!O53&gt;'Tabelle'!M53,1,0)</f>
        <v>0</v>
      </c>
      <c r="E30" s="236">
        <f>IF(AND('Tabelle'!M48='Tabelle'!O48,'Tabelle'!M48&lt;&gt;""),1,0)</f>
        <v>0</v>
      </c>
      <c r="F30" s="236">
        <f>IF(AND('Tabelle'!M50='Tabelle'!O50,'Tabelle'!M50&lt;&gt;""),1,0)</f>
        <v>0</v>
      </c>
      <c r="G30" s="236">
        <f>IF(AND('Tabelle'!M53='Tabelle'!O53,'Tabelle'!M53&lt;&gt;""),1,0)</f>
        <v>0</v>
      </c>
      <c r="H30" s="275"/>
      <c r="I30" t="s" s="256">
        <v>63</v>
      </c>
      <c r="J30" s="257">
        <f>RANK('Gruppen'!K32,'Gruppen'!K$30:K$33,0)</f>
        <v>4</v>
      </c>
      <c r="K30" t="s" s="258">
        <f>IF(COUNTIF(J$28:J$31,J30)=1,"",IF(AND(COUNT(K$28)&gt;0,J$28&lt;&gt;J30),2,1))</f>
      </c>
      <c r="L30" t="s" s="218">
        <f>IF(K30=1,'Ränge1'!M30,"")</f>
      </c>
      <c r="M30" t="s" s="218">
        <f>IF(K30=2,'Ränge1'!M30,"")</f>
      </c>
      <c r="N30" s="236">
        <f>IF(K30=1,RANK(L30,L$28:L$31),0)</f>
        <v>0</v>
      </c>
      <c r="O30" s="259">
        <f>IF(K30=2,RANK(M30,M$28:M$31),0)</f>
        <v>0</v>
      </c>
      <c r="P30" s="257">
        <f>IF(K30&lt;&gt;"",J30+N30+O30-1,J30)</f>
        <v>4</v>
      </c>
      <c r="Q30" t="s" s="258">
        <f>IF(COUNTIF(P$28:P$31,P30)=1,"",IF(AND(COUNT(Q$28)&gt;0,P$28&lt;&gt;P30),2,1))</f>
      </c>
      <c r="R30" t="s" s="218">
        <f>IF(Q30=1,'Ränge1'!N30,"")</f>
      </c>
      <c r="S30" t="s" s="218">
        <f>IF(Q30=2,'Ränge1'!N30,"")</f>
      </c>
      <c r="T30" s="236">
        <f>IF($Q30=1,RANK(R30,R$28:R$31),0)</f>
        <v>0</v>
      </c>
      <c r="U30" s="259">
        <f>IF($Q30=2,RANK(S30,S$28:S$31),0)</f>
        <v>0</v>
      </c>
      <c r="V30" s="257">
        <f>IF(Q30&lt;&gt;"",P30+T30+U30-1,P30)</f>
        <v>4</v>
      </c>
      <c r="W30" t="s" s="258">
        <f>IF(COUNTIF(V$28:V$31,V30)=1,"",IF(AND(COUNT(W$28)&gt;0,V$28&lt;&gt;V30),2,1))</f>
      </c>
      <c r="X30" t="s" s="218">
        <f>IF(W30=1,'Ränge1'!O30,"")</f>
      </c>
      <c r="Y30" t="s" s="218">
        <f>IF(W30=2,'Ränge1'!O30,"")</f>
      </c>
      <c r="Z30" s="236">
        <f>IF($W30=1,RANK(X30,X$28:X$31),0)</f>
        <v>0</v>
      </c>
      <c r="AA30" s="259">
        <f>IF($W30=2,RANK(Y30,Y$28:Y$31),0)</f>
        <v>0</v>
      </c>
      <c r="AB30" s="257">
        <f>IF(W30&lt;&gt;"",V30+Z30+AA30-1,V30)</f>
        <v>4</v>
      </c>
      <c r="AC30" t="s" s="258">
        <f>IF(COUNTIF(AB$28:AB$31,AB30)=1,"",IF(AND(COUNT(AC$28)&gt;0,AB$28&lt;&gt;AB30),2,1))</f>
      </c>
      <c r="AD30" t="s" s="218">
        <f>IF(AC30=1,'Ränge1'!P30,"")</f>
      </c>
      <c r="AE30" t="s" s="218">
        <f>IF(AC30=2,'Ränge1'!P30,"")</f>
      </c>
      <c r="AF30" s="236">
        <f>IF($AC30=1,RANK(AD30,AD$28:AD$31),0)</f>
        <v>0</v>
      </c>
      <c r="AG30" s="259">
        <f>IF($AC30=2,RANK(AE30,AE$28:AE$31),0)</f>
        <v>0</v>
      </c>
      <c r="AH30" s="257">
        <f>IF(AC30&lt;&gt;"",AB30+AF30+AG30-1,AB30)</f>
        <v>4</v>
      </c>
      <c r="AI30" t="s" s="258">
        <f>IF(COUNTIF(AH$28:AH$31,AH30)=1,"",IF(AND(COUNT(AI$28)&gt;0,AH$28&lt;&gt;AH30),2,1))</f>
      </c>
      <c r="AJ30" t="s" s="218">
        <f>IF($AI30=1,'Ränge1'!Q30,"")</f>
      </c>
      <c r="AK30" t="s" s="218">
        <f>IF($AI30=2,'Ränge1'!Q30,"")</f>
      </c>
      <c r="AL30" s="236">
        <f>IF($AI30=1,RANK(AJ30,AJ$28:AJ$31),0)</f>
        <v>0</v>
      </c>
      <c r="AM30" s="259">
        <f>IF($AI30=2,RANK(AK30,AK$28:AK$31),0)</f>
        <v>0</v>
      </c>
      <c r="AN30" s="257">
        <f>IF(AI30&lt;&gt;"",AH30+AL30+AM30-1,AH30)</f>
        <v>4</v>
      </c>
      <c r="AO30" s="260">
        <f>AN30</f>
        <v>4</v>
      </c>
      <c r="AP30" t="s" s="258">
        <v>63</v>
      </c>
    </row>
    <row r="31" ht="15" customHeight="1">
      <c r="A31" t="s" s="250">
        <v>212</v>
      </c>
      <c r="B31" s="236">
        <f>IF('Tabelle'!O48&gt;'Tabelle'!M48,1,0)</f>
        <v>1</v>
      </c>
      <c r="C31" s="236">
        <f>IF('Tabelle'!O51&lt;'Tabelle'!M51,1,0)</f>
        <v>1</v>
      </c>
      <c r="D31" s="236">
        <f>IF('Tabelle'!M52&gt;'Tabelle'!O52,1,0)</f>
        <v>0</v>
      </c>
      <c r="E31" s="236">
        <f>IF(AND('Tabelle'!M48='Tabelle'!O48,'Tabelle'!M48&lt;&gt;""),1,0)</f>
        <v>0</v>
      </c>
      <c r="F31" s="236">
        <f>IF(AND('Tabelle'!M51='Tabelle'!O51,'Tabelle'!M51&lt;&gt;""),1,0)</f>
        <v>0</v>
      </c>
      <c r="G31" s="236">
        <f>IF(AND('Tabelle'!M52='Tabelle'!O52,'Tabelle'!M52&lt;&gt;""),1,0)</f>
        <v>0</v>
      </c>
      <c r="H31" s="275"/>
      <c r="I31" t="s" s="256">
        <v>59</v>
      </c>
      <c r="J31" s="257">
        <f>RANK('Gruppen'!K33,'Gruppen'!K$30:K$33,0)</f>
        <v>2</v>
      </c>
      <c r="K31" t="s" s="258">
        <f>IF(COUNTIF(J$28:J$31,J31)=1,"",IF(AND(COUNT(K$28)&gt;0,J$28&lt;&gt;J31),2,1))</f>
      </c>
      <c r="L31" t="s" s="218">
        <f>IF(K31=1,'Ränge1'!M31,"")</f>
      </c>
      <c r="M31" t="s" s="218">
        <f>IF(K31=2,'Ränge1'!M31,"")</f>
      </c>
      <c r="N31" s="236">
        <f>IF(K31=1,RANK(L31,L$28:L$31),0)</f>
        <v>0</v>
      </c>
      <c r="O31" s="259">
        <f>IF(K31=2,RANK(M31,M$28:M$31),0)</f>
        <v>0</v>
      </c>
      <c r="P31" s="257">
        <f>IF(K31&lt;&gt;"",J31+N31+O31-1,J31)</f>
        <v>2</v>
      </c>
      <c r="Q31" t="s" s="258">
        <f>IF(COUNTIF(P$28:P$31,P31)=1,"",IF(AND(COUNT(Q$28)&gt;0,P$28&lt;&gt;P31),2,1))</f>
      </c>
      <c r="R31" t="s" s="218">
        <f>IF(Q31=1,'Ränge1'!N31,"")</f>
      </c>
      <c r="S31" t="s" s="218">
        <f>IF(Q31=2,'Ränge1'!N31,"")</f>
      </c>
      <c r="T31" s="236">
        <f>IF($Q31=1,RANK(R31,R$28:R$31),0)</f>
        <v>0</v>
      </c>
      <c r="U31" s="259">
        <f>IF($Q31=2,RANK(S31,S$28:S$31),0)</f>
        <v>0</v>
      </c>
      <c r="V31" s="257">
        <f>IF(Q31&lt;&gt;"",P31+T31+U31-1,P31)</f>
        <v>2</v>
      </c>
      <c r="W31" t="s" s="258">
        <f>IF(COUNTIF(V$28:V$31,V31)=1,"",IF(AND(COUNT(W$28)&gt;0,V$28&lt;&gt;V31),2,1))</f>
      </c>
      <c r="X31" t="s" s="218">
        <f>IF(W31=1,'Ränge1'!O31,"")</f>
      </c>
      <c r="Y31" t="s" s="218">
        <f>IF(W31=2,'Ränge1'!O31,"")</f>
      </c>
      <c r="Z31" s="236">
        <f>IF($W31=1,RANK(X31,X$28:X$31),0)</f>
        <v>0</v>
      </c>
      <c r="AA31" s="259">
        <f>IF($W31=2,RANK(Y31,Y$28:Y$31),0)</f>
        <v>0</v>
      </c>
      <c r="AB31" s="257">
        <f>IF(W31&lt;&gt;"",V31+Z31+AA31-1,V31)</f>
        <v>2</v>
      </c>
      <c r="AC31" t="s" s="258">
        <f>IF(COUNTIF(AB$28:AB$31,AB31)=1,"",IF(AND(COUNT(AC$28)&gt;0,AB$28&lt;&gt;AB31),2,1))</f>
      </c>
      <c r="AD31" t="s" s="218">
        <f>IF(AC31=1,'Ränge1'!P31,"")</f>
      </c>
      <c r="AE31" t="s" s="218">
        <f>IF(AC31=2,'Ränge1'!P31,"")</f>
      </c>
      <c r="AF31" s="236">
        <f>IF($AC31=1,RANK(AD31,AD$28:AD$31),0)</f>
        <v>0</v>
      </c>
      <c r="AG31" s="259">
        <f>IF($AC31=2,RANK(AE31,AE$28:AE$31),0)</f>
        <v>0</v>
      </c>
      <c r="AH31" s="257">
        <f>IF(AC31&lt;&gt;"",AB31+AF31+AG31-1,AB31)</f>
        <v>2</v>
      </c>
      <c r="AI31" t="s" s="258">
        <f>IF(COUNTIF(AH$28:AH$31,AH31)=1,"",IF(AND(COUNT(AI$28)&gt;0,AH$28&lt;&gt;AH31),2,1))</f>
      </c>
      <c r="AJ31" t="s" s="218">
        <f>IF($AI31=1,'Ränge1'!Q31,"")</f>
      </c>
      <c r="AK31" t="s" s="218">
        <f>IF($AI31=2,'Ränge1'!Q31,"")</f>
      </c>
      <c r="AL31" s="236">
        <f>IF($AI31=1,RANK(AJ31,AJ$28:AJ$31),0)</f>
        <v>0</v>
      </c>
      <c r="AM31" s="259">
        <f>IF($AI31=2,RANK(AK31,AK$28:AK$31),0)</f>
        <v>0</v>
      </c>
      <c r="AN31" s="257">
        <f>IF(AI31&lt;&gt;"",AH31+AL31+AM31-1,AH31)</f>
        <v>2</v>
      </c>
      <c r="AO31" s="260">
        <f>AN31</f>
        <v>2</v>
      </c>
      <c r="AP31" t="s" s="258">
        <v>59</v>
      </c>
    </row>
    <row r="32" ht="15" customHeight="1">
      <c r="A32" s="244"/>
      <c r="B32" s="219"/>
      <c r="C32" s="219"/>
      <c r="D32" s="219"/>
      <c r="E32" s="219"/>
      <c r="F32" s="219"/>
      <c r="G32" s="247"/>
      <c r="H32" s="248"/>
      <c r="I32" s="249"/>
      <c r="J32" s="264"/>
      <c r="K32" s="219"/>
      <c r="L32" s="219"/>
      <c r="M32" s="219"/>
      <c r="N32" s="219"/>
      <c r="O32" s="219"/>
      <c r="P32" s="264"/>
      <c r="Q32" s="219"/>
      <c r="R32" s="219"/>
      <c r="S32" s="219"/>
      <c r="T32" s="219"/>
      <c r="U32" s="219"/>
      <c r="V32" s="264"/>
      <c r="W32" s="219"/>
      <c r="X32" s="219"/>
      <c r="Y32" s="219"/>
      <c r="Z32" s="219"/>
      <c r="AA32" s="219"/>
      <c r="AB32" s="264"/>
      <c r="AC32" s="219"/>
      <c r="AD32" s="219"/>
      <c r="AE32" s="219"/>
      <c r="AF32" s="219"/>
      <c r="AG32" s="219"/>
      <c r="AH32" s="264"/>
      <c r="AI32" s="219"/>
      <c r="AJ32" s="219"/>
      <c r="AK32" s="219"/>
      <c r="AL32" s="219"/>
      <c r="AM32" s="219"/>
      <c r="AN32" s="264"/>
      <c r="AO32" s="264"/>
      <c r="AP32" s="219"/>
    </row>
    <row r="33" ht="15" customHeight="1">
      <c r="A33" s="244"/>
      <c r="B33" s="219"/>
      <c r="C33" s="219"/>
      <c r="D33" s="219"/>
      <c r="E33" s="219"/>
      <c r="F33" s="219"/>
      <c r="G33" s="247"/>
      <c r="H33" s="248"/>
      <c r="I33" s="249"/>
      <c r="J33" s="276"/>
      <c r="K33" s="219"/>
      <c r="L33" s="219"/>
      <c r="M33" s="219"/>
      <c r="N33" s="219"/>
      <c r="O33" s="219"/>
      <c r="P33" s="276"/>
      <c r="Q33" s="219"/>
      <c r="R33" s="219"/>
      <c r="S33" s="219"/>
      <c r="T33" s="219"/>
      <c r="U33" s="219"/>
      <c r="V33" s="276"/>
      <c r="W33" s="219"/>
      <c r="X33" s="219"/>
      <c r="Y33" s="219"/>
      <c r="Z33" s="219"/>
      <c r="AA33" s="219"/>
      <c r="AB33" s="276"/>
      <c r="AC33" s="219"/>
      <c r="AD33" s="219"/>
      <c r="AE33" s="219"/>
      <c r="AF33" s="219"/>
      <c r="AG33" s="219"/>
      <c r="AH33" s="276"/>
      <c r="AI33" s="219"/>
      <c r="AJ33" s="219"/>
      <c r="AK33" s="219"/>
      <c r="AL33" s="219"/>
      <c r="AM33" s="219"/>
      <c r="AN33" s="276"/>
      <c r="AO33" s="276"/>
      <c r="AP33" s="219"/>
    </row>
    <row r="34" ht="15" customHeight="1">
      <c r="A34" t="s" s="250">
        <v>213</v>
      </c>
      <c r="B34" s="236">
        <f>IF('Tabelle'!AD48&gt;'Tabelle'!AF48,1,0)</f>
        <v>1</v>
      </c>
      <c r="C34" s="236">
        <f>IF('Tabelle'!AD51&gt;'Tabelle'!AF51,1,0)</f>
        <v>1</v>
      </c>
      <c r="D34" s="236">
        <f>IF('Tabelle'!AF52&gt;'Tabelle'!AD52,1,0)</f>
        <v>1</v>
      </c>
      <c r="E34" s="236">
        <f>IF(AND('Tabelle'!AD48='Tabelle'!AF48,'Tabelle'!AD48&lt;&gt;""),1,0)</f>
        <v>0</v>
      </c>
      <c r="F34" s="236">
        <f>IF(AND('Tabelle'!AD51='Tabelle'!AF51,'Tabelle'!AD51&lt;&gt;""),1,0)</f>
        <v>0</v>
      </c>
      <c r="G34" s="236">
        <f>IF(AND('Tabelle'!AD52='Tabelle'!AF52,'Tabelle'!AD52&lt;&gt;""),1,0)</f>
        <v>0</v>
      </c>
      <c r="H34" s="275"/>
      <c r="I34" t="s" s="256">
        <v>153</v>
      </c>
      <c r="J34" s="257">
        <f>RANK('Gruppen'!K36,'Gruppen'!K$36:K$39,0)</f>
        <v>1</v>
      </c>
      <c r="K34" t="s" s="274">
        <f>IF(COUNTIF(J$34:J$37,J34)=1,"",1)</f>
      </c>
      <c r="L34" t="s" s="218">
        <f>IF(K34=1,'Ränge1'!M34,"")</f>
      </c>
      <c r="M34" t="s" s="218">
        <f>IF(K34=2,'Ränge1'!M34,"")</f>
      </c>
      <c r="N34" s="236">
        <f>IF(K34=1,RANK(L34,L$34:L$37),0)</f>
        <v>0</v>
      </c>
      <c r="O34" s="259">
        <f>IF(K34=2,RANK(M34,M$34:M$37),0)</f>
        <v>0</v>
      </c>
      <c r="P34" s="257">
        <f>IF(K34&lt;&gt;"",J34+N34+O34-1,J34)</f>
        <v>1</v>
      </c>
      <c r="Q34" t="s" s="258">
        <f>IF(COUNTIF(P$34:P$37,P34)=1,"",1)</f>
      </c>
      <c r="R34" t="s" s="218">
        <f>IF(Q34=1,'Ränge1'!N34,"")</f>
      </c>
      <c r="S34" t="s" s="218">
        <f>IF(Q34=2,'Ränge1'!N34,"")</f>
      </c>
      <c r="T34" s="236">
        <f>IF($Q34=1,RANK(R34,R$34:R$37),0)</f>
        <v>0</v>
      </c>
      <c r="U34" s="259">
        <f>IF($Q34=2,RANK(S34,S$34:S$37),0)</f>
        <v>0</v>
      </c>
      <c r="V34" s="257">
        <f>IF(Q34&lt;&gt;"",P34+T34+U34-1,P34)</f>
        <v>1</v>
      </c>
      <c r="W34" t="s" s="258">
        <f>IF(COUNTIF(V$34:V$37,V34)=1,"",1)</f>
      </c>
      <c r="X34" t="s" s="218">
        <f>IF(W34=1,'Ränge1'!O34,"")</f>
      </c>
      <c r="Y34" t="s" s="218">
        <f>IF(W34=2,'Ränge1'!O34,"")</f>
      </c>
      <c r="Z34" s="236">
        <f>IF($W34=1,RANK(X34,X$34:X$37),0)</f>
        <v>0</v>
      </c>
      <c r="AA34" s="259">
        <f>IF($W34=2,RANK(Y34,Y$34:Y$37),0)</f>
        <v>0</v>
      </c>
      <c r="AB34" s="257">
        <f>IF(W34&lt;&gt;"",V34+Z34+AA34-1,V34)</f>
        <v>1</v>
      </c>
      <c r="AC34" t="s" s="258">
        <f>IF(COUNTIF(AB$34:AB$37,AB34)=1,"",1)</f>
      </c>
      <c r="AD34" t="s" s="218">
        <f>IF(AC34=1,'Ränge1'!P34,"")</f>
      </c>
      <c r="AE34" t="s" s="218">
        <f>IF(AC34=2,'Ränge1'!P34,"")</f>
      </c>
      <c r="AF34" s="236">
        <f>IF($AC34=1,RANK(AD34,AD$34:AD$37),0)</f>
        <v>0</v>
      </c>
      <c r="AG34" s="259">
        <f>IF($AC34=2,RANK(AE34,AE$34:AE$37),0)</f>
        <v>0</v>
      </c>
      <c r="AH34" s="257">
        <f>IF(AC34&lt;&gt;"",AB34+AF34+AG34-1,AB34)</f>
        <v>1</v>
      </c>
      <c r="AI34" t="s" s="258">
        <f>IF(COUNTIF(AH$34:AH$37,AH34)=1,"",1)</f>
      </c>
      <c r="AJ34" t="s" s="218">
        <f>IF($AI34=1,'Ränge1'!Q34,"")</f>
      </c>
      <c r="AK34" t="s" s="218">
        <f>IF($AI34=2,'Ränge1'!Q34,"")</f>
      </c>
      <c r="AL34" s="236">
        <f>IF($AI34=1,RANK(AJ34,AJ$34:AJ$37),0)</f>
        <v>0</v>
      </c>
      <c r="AM34" s="259">
        <f>IF($AI34=2,RANK(AK34,AK$34:AK$37),0)</f>
        <v>0</v>
      </c>
      <c r="AN34" s="257">
        <f>IF(AI34&lt;&gt;"",AH34+AL34+AM34-1,AH34)</f>
        <v>1</v>
      </c>
      <c r="AO34" s="260">
        <f>AN34</f>
        <v>1</v>
      </c>
      <c r="AP34" t="s" s="258">
        <v>153</v>
      </c>
    </row>
    <row r="35" ht="15" customHeight="1">
      <c r="A35" t="s" s="250">
        <v>214</v>
      </c>
      <c r="B35" s="236">
        <f>IF('Tabelle'!AF48&gt;'Tabelle'!AD48,1,0)</f>
        <v>0</v>
      </c>
      <c r="C35" s="236">
        <f>IF('Tabelle'!AD50&lt;'Tabelle'!AF50,1,0)</f>
        <v>0</v>
      </c>
      <c r="D35" s="236">
        <f>IF('Tabelle'!AD53&gt;'Tabelle'!AF53,1,0)</f>
        <v>0</v>
      </c>
      <c r="E35" s="236">
        <f>IF(AND('Tabelle'!AD48='Tabelle'!AF48,'Tabelle'!AD48&lt;&gt;""),1,0)</f>
        <v>0</v>
      </c>
      <c r="F35" s="236">
        <f>IF(AND('Tabelle'!AD50='Tabelle'!AF50,'Tabelle'!AD50&lt;&gt;""),1,0)</f>
        <v>1</v>
      </c>
      <c r="G35" s="236">
        <f>IF(AND('Tabelle'!AD53='Tabelle'!AF53,'Tabelle'!AD53&lt;&gt;""),1,0)</f>
        <v>0</v>
      </c>
      <c r="H35" s="275"/>
      <c r="I35" t="s" s="256">
        <v>64</v>
      </c>
      <c r="J35" s="257">
        <f>RANK('Gruppen'!K37,'Gruppen'!K$36:K$39,0)</f>
        <v>3</v>
      </c>
      <c r="K35" s="278">
        <f>IF(COUNTIF(J$34:J$37,J35)=1,"",IF(AND(COUNT(K$34)&gt;0,J$34&lt;&gt;J35),2,1))</f>
        <v>1</v>
      </c>
      <c r="L35" s="236">
        <f>IF(K35=1,'Ränge1'!M35,"")</f>
        <v>-4</v>
      </c>
      <c r="M35" t="s" s="218">
        <f>IF(K35=2,'Ränge1'!M35,"")</f>
      </c>
      <c r="N35" s="236">
        <f>IF(K35=1,RANK(L35,L$34:L$37),0)</f>
        <v>2</v>
      </c>
      <c r="O35" s="259">
        <f>IF(K35=2,RANK(M35,M$34:M$37),0)</f>
        <v>0</v>
      </c>
      <c r="P35" s="257">
        <f>IF(K35&lt;&gt;"",J35+N35+O35-1,J35)</f>
        <v>4</v>
      </c>
      <c r="Q35" t="s" s="258">
        <f>IF(COUNTIF(P$34:P$37,P35)=1,"",IF(AND(COUNT(Q$34)&gt;0,P$34&lt;&gt;P35),2,1))</f>
      </c>
      <c r="R35" t="s" s="218">
        <f>IF(Q35=1,'Ränge1'!N35,"")</f>
      </c>
      <c r="S35" t="s" s="218">
        <f>IF(Q35=2,'Ränge1'!N35,"")</f>
      </c>
      <c r="T35" s="236">
        <f>IF($Q35=1,RANK(R35,R$34:R$37),0)</f>
        <v>0</v>
      </c>
      <c r="U35" s="259">
        <f>IF($Q35=2,RANK(S35,S$34:S$37),0)</f>
        <v>0</v>
      </c>
      <c r="V35" s="257">
        <f>IF(Q35&lt;&gt;"",P35+T35+U35-1,P35)</f>
        <v>4</v>
      </c>
      <c r="W35" t="s" s="258">
        <f>IF(COUNTIF(V$34:V$37,V35)=1,"",IF(AND(COUNT(W$34)&gt;0,V$34&lt;&gt;V35),2,1))</f>
      </c>
      <c r="X35" t="s" s="218">
        <f>IF(W35=1,'Ränge1'!O35,"")</f>
      </c>
      <c r="Y35" t="s" s="218">
        <f>IF(W35=2,'Ränge1'!O35,"")</f>
      </c>
      <c r="Z35" s="236">
        <f>IF($W35=1,RANK(X35,X$34:X$37),0)</f>
        <v>0</v>
      </c>
      <c r="AA35" s="259">
        <f>IF($W35=2,RANK(Y35,Y$34:Y$37),0)</f>
        <v>0</v>
      </c>
      <c r="AB35" s="257">
        <f>IF(W35&lt;&gt;"",V35+Z35+AA35-1,V35)</f>
        <v>4</v>
      </c>
      <c r="AC35" t="s" s="258">
        <f>IF(COUNTIF(AB$34:AB$37,AB35)=1,"",IF(AND(COUNT(AC$34)&gt;0,AB$34&lt;&gt;AB35),2,1))</f>
      </c>
      <c r="AD35" t="s" s="218">
        <f>IF(AC35=1,'Ränge1'!P35,"")</f>
      </c>
      <c r="AE35" t="s" s="218">
        <f>IF(AC35=2,'Ränge1'!P35,"")</f>
      </c>
      <c r="AF35" s="236">
        <f>IF($AC35=1,RANK(AD35,AD$34:AD$37),0)</f>
        <v>0</v>
      </c>
      <c r="AG35" s="259">
        <f>IF($AC35=2,RANK(AE35,AE$34:AE$37),0)</f>
        <v>0</v>
      </c>
      <c r="AH35" s="257">
        <f>IF(AC35&lt;&gt;"",AB35+AF35+AG35-1,AB35)</f>
        <v>4</v>
      </c>
      <c r="AI35" t="s" s="258">
        <f>IF(COUNTIF(AH$34:AH$37,AH35)=1,"",IF(AND(COUNT(AI$34)&gt;0,AH$34&lt;&gt;AH35),2,1))</f>
      </c>
      <c r="AJ35" t="s" s="218">
        <f>IF($AI35=1,'Ränge1'!Q35,"")</f>
      </c>
      <c r="AK35" t="s" s="218">
        <f>IF($AI35=2,'Ränge1'!Q35,"")</f>
      </c>
      <c r="AL35" s="236">
        <f>IF($AI35=1,RANK(AJ35,AJ$34:AJ$37),0)</f>
        <v>0</v>
      </c>
      <c r="AM35" s="259">
        <f>IF($AI35=2,RANK(AK35,AK$34:AK$37),0)</f>
        <v>0</v>
      </c>
      <c r="AN35" s="257">
        <f>IF(AI35&lt;&gt;"",AH35+AL35+AM35-1,AH35)</f>
        <v>4</v>
      </c>
      <c r="AO35" s="260">
        <f>AN35</f>
        <v>4</v>
      </c>
      <c r="AP35" t="s" s="258">
        <v>64</v>
      </c>
    </row>
    <row r="36" ht="15" customHeight="1">
      <c r="A36" t="s" s="250">
        <v>215</v>
      </c>
      <c r="B36" s="236">
        <f>IF('Tabelle'!AD49&gt;'Tabelle'!AF49,1,0)</f>
        <v>1</v>
      </c>
      <c r="C36" s="236">
        <f>IF('Tabelle'!AF51&gt;'Tabelle'!AD51,1,0)</f>
        <v>0</v>
      </c>
      <c r="D36" s="236">
        <f>IF('Tabelle'!AF53&gt;'Tabelle'!AD53,1,0)</f>
        <v>1</v>
      </c>
      <c r="E36" s="236">
        <f>IF(AND('Tabelle'!AD49='Tabelle'!AF49,'Tabelle'!AD49&lt;&gt;""),1,0)</f>
        <v>0</v>
      </c>
      <c r="F36" s="236">
        <f>IF(AND('Tabelle'!AD51='Tabelle'!AF51,'Tabelle'!AD51&lt;&gt;""),1,0)</f>
        <v>0</v>
      </c>
      <c r="G36" s="236">
        <f>IF(AND('Tabelle'!AD53='Tabelle'!AF53,'Tabelle'!AD53&lt;&gt;""),1,0)</f>
        <v>0</v>
      </c>
      <c r="H36" s="275"/>
      <c r="I36" t="s" s="256">
        <v>60</v>
      </c>
      <c r="J36" s="257">
        <f>RANK('Gruppen'!K38,'Gruppen'!K$36:K$39,0)</f>
        <v>2</v>
      </c>
      <c r="K36" t="s" s="258">
        <f>IF(COUNTIF(J$34:J$37,J36)=1,"",IF(AND(COUNT(K$34)&gt;0,J$34&lt;&gt;J36),2,1))</f>
      </c>
      <c r="L36" t="s" s="218">
        <f>IF(K36=1,'Ränge1'!M36,"")</f>
      </c>
      <c r="M36" t="s" s="218">
        <f>IF(K36=2,'Ränge1'!M36,"")</f>
      </c>
      <c r="N36" s="236">
        <f>IF(K36=1,RANK(L36,L$34:L$37),0)</f>
        <v>0</v>
      </c>
      <c r="O36" s="259">
        <f>IF(K36=2,RANK(M36,M$34:M$37),0)</f>
        <v>0</v>
      </c>
      <c r="P36" s="257">
        <f>IF(K36&lt;&gt;"",J36+N36+O36-1,J36)</f>
        <v>2</v>
      </c>
      <c r="Q36" t="s" s="258">
        <f>IF(COUNTIF(P$34:P$37,P36)=1,"",IF(AND(COUNT(Q$34)&gt;0,P$34&lt;&gt;P36),2,1))</f>
      </c>
      <c r="R36" t="s" s="218">
        <f>IF(Q36=1,'Ränge1'!N36,"")</f>
      </c>
      <c r="S36" t="s" s="218">
        <f>IF(Q36=2,'Ränge1'!N36,"")</f>
      </c>
      <c r="T36" s="236">
        <f>IF($Q36=1,RANK(R36,R$34:R$37),0)</f>
        <v>0</v>
      </c>
      <c r="U36" s="259">
        <f>IF($Q36=2,RANK(S36,S$34:S$37),0)</f>
        <v>0</v>
      </c>
      <c r="V36" s="257">
        <f>IF(Q36&lt;&gt;"",P36+T36+U36-1,P36)</f>
        <v>2</v>
      </c>
      <c r="W36" t="s" s="258">
        <f>IF(COUNTIF(V$34:V$37,V36)=1,"",IF(AND(COUNT(W$34)&gt;0,V$34&lt;&gt;V36),2,1))</f>
      </c>
      <c r="X36" t="s" s="218">
        <f>IF(W36=1,'Ränge1'!O36,"")</f>
      </c>
      <c r="Y36" t="s" s="218">
        <f>IF(W36=2,'Ränge1'!O36,"")</f>
      </c>
      <c r="Z36" s="236">
        <f>IF($W36=1,RANK(X36,X$34:X$37),0)</f>
        <v>0</v>
      </c>
      <c r="AA36" s="259">
        <f>IF($W36=2,RANK(Y36,Y$34:Y$37),0)</f>
        <v>0</v>
      </c>
      <c r="AB36" s="257">
        <f>IF(W36&lt;&gt;"",V36+Z36+AA36-1,V36)</f>
        <v>2</v>
      </c>
      <c r="AC36" t="s" s="258">
        <f>IF(COUNTIF(AB$34:AB$37,AB36)=1,"",IF(AND(COUNT(AC$34)&gt;0,AB$34&lt;&gt;AB36),2,1))</f>
      </c>
      <c r="AD36" t="s" s="218">
        <f>IF(AC36=1,'Ränge1'!P36,"")</f>
      </c>
      <c r="AE36" t="s" s="218">
        <f>IF(AC36=2,'Ränge1'!P36,"")</f>
      </c>
      <c r="AF36" s="236">
        <f>IF($AC36=1,RANK(AD36,AD$34:AD$37),0)</f>
        <v>0</v>
      </c>
      <c r="AG36" s="259">
        <f>IF($AC36=2,RANK(AE36,AE$34:AE$37),0)</f>
        <v>0</v>
      </c>
      <c r="AH36" s="257">
        <f>IF(AC36&lt;&gt;"",AB36+AF36+AG36-1,AB36)</f>
        <v>2</v>
      </c>
      <c r="AI36" t="s" s="258">
        <f>IF(COUNTIF(AH$34:AH$37,AH36)=1,"",IF(AND(COUNT(AI$34)&gt;0,AH$34&lt;&gt;AH36),2,1))</f>
      </c>
      <c r="AJ36" t="s" s="218">
        <f>IF($AI36=1,'Ränge1'!Q36,"")</f>
      </c>
      <c r="AK36" t="s" s="218">
        <f>IF($AI36=2,'Ränge1'!Q36,"")</f>
      </c>
      <c r="AL36" s="236">
        <f>IF($AI36=1,RANK(AJ36,AJ$34:AJ$37),0)</f>
        <v>0</v>
      </c>
      <c r="AM36" s="259">
        <f>IF($AI36=2,RANK(AK36,AK$34:AK$37),0)</f>
        <v>0</v>
      </c>
      <c r="AN36" s="257">
        <f>IF(AI36&lt;&gt;"",AH36+AL36+AM36-1,AH36)</f>
        <v>2</v>
      </c>
      <c r="AO36" s="260">
        <f>AN36</f>
        <v>2</v>
      </c>
      <c r="AP36" t="s" s="258">
        <v>60</v>
      </c>
    </row>
    <row r="37" ht="15.75" customHeight="1">
      <c r="A37" t="s" s="279">
        <v>216</v>
      </c>
      <c r="B37" s="280">
        <f>IF('Tabelle'!AF49&gt;'Tabelle'!AD49,1,0)</f>
        <v>0</v>
      </c>
      <c r="C37" s="280">
        <f>IF('Tabelle'!AF50&lt;'Tabelle'!AD50,1,0)</f>
        <v>0</v>
      </c>
      <c r="D37" s="280">
        <f>IF('Tabelle'!AD52&gt;'Tabelle'!AF52,1,0)</f>
        <v>0</v>
      </c>
      <c r="E37" s="280">
        <f>IF(AND('Tabelle'!AD49='Tabelle'!AF49,'Tabelle'!AD49&lt;&gt;""),1,0)</f>
        <v>0</v>
      </c>
      <c r="F37" s="280">
        <f>IF(AND('Tabelle'!AD50='Tabelle'!AF50,'Tabelle'!AD50&lt;&gt;""),1,0)</f>
        <v>1</v>
      </c>
      <c r="G37" s="280">
        <f>IF(AND('Tabelle'!AD52='Tabelle'!AF52,'Tabelle'!AD52&lt;&gt;""),1,0)</f>
        <v>0</v>
      </c>
      <c r="H37" s="275"/>
      <c r="I37" t="s" s="256">
        <v>62</v>
      </c>
      <c r="J37" s="257">
        <f>RANK('Gruppen'!K39,'Gruppen'!K$36:K$39,0)</f>
        <v>3</v>
      </c>
      <c r="K37" s="278">
        <f>IF(COUNTIF(J$34:J$37,J37)=1,"",IF(AND(COUNT(K$34)&gt;0,J$34&lt;&gt;J37),2,1))</f>
        <v>1</v>
      </c>
      <c r="L37" s="236">
        <f>IF(K37=1,'Ränge1'!M37,"")</f>
        <v>-3</v>
      </c>
      <c r="M37" t="s" s="218">
        <f>IF(K37=2,'Ränge1'!M37,"")</f>
      </c>
      <c r="N37" s="236">
        <f>IF(K37=1,RANK(L37,L$34:L$37),0)</f>
        <v>1</v>
      </c>
      <c r="O37" s="259">
        <f>IF(K37=2,RANK(M37,M$34:M$37),0)</f>
        <v>0</v>
      </c>
      <c r="P37" s="257">
        <f>IF(K37&lt;&gt;"",J37+N37+O37-1,J37)</f>
        <v>3</v>
      </c>
      <c r="Q37" t="s" s="258">
        <f>IF(COUNTIF(P$34:P$37,P37)=1,"",IF(AND(COUNT(Q$34)&gt;0,P$34&lt;&gt;P37),2,1))</f>
      </c>
      <c r="R37" t="s" s="218">
        <f>IF(Q37=1,'Ränge1'!N37,"")</f>
      </c>
      <c r="S37" t="s" s="218">
        <f>IF(Q37=2,'Ränge1'!N37,"")</f>
      </c>
      <c r="T37" s="236">
        <f>IF($Q37=1,RANK(R37,R$34:R$37),0)</f>
        <v>0</v>
      </c>
      <c r="U37" s="259">
        <f>IF($Q37=2,RANK(S37,S$34:S$37),0)</f>
        <v>0</v>
      </c>
      <c r="V37" s="257">
        <f>IF(Q37&lt;&gt;"",P37+T37+U37-1,P37)</f>
        <v>3</v>
      </c>
      <c r="W37" t="s" s="258">
        <f>IF(COUNTIF(V$34:V$37,V37)=1,"",IF(AND(COUNT(W$34)&gt;0,V$34&lt;&gt;V37),2,1))</f>
      </c>
      <c r="X37" t="s" s="218">
        <f>IF(W37=1,'Ränge1'!O37,"")</f>
      </c>
      <c r="Y37" t="s" s="218">
        <f>IF(W37=2,'Ränge1'!O37,"")</f>
      </c>
      <c r="Z37" s="236">
        <f>IF($W37=1,RANK(X37,X$34:X$37),0)</f>
        <v>0</v>
      </c>
      <c r="AA37" s="259">
        <f>IF($W37=2,RANK(Y37,Y$34:Y$37),0)</f>
        <v>0</v>
      </c>
      <c r="AB37" s="257">
        <f>IF(W37&lt;&gt;"",V37+Z37+AA37-1,V37)</f>
        <v>3</v>
      </c>
      <c r="AC37" t="s" s="258">
        <f>IF(COUNTIF(AB$34:AB$37,AB37)=1,"",IF(AND(COUNT(AC$34)&gt;0,AB$34&lt;&gt;AB37),2,1))</f>
      </c>
      <c r="AD37" t="s" s="218">
        <f>IF(AC37=1,'Ränge1'!P37,"")</f>
      </c>
      <c r="AE37" t="s" s="218">
        <f>IF(AC37=2,'Ränge1'!P37,"")</f>
      </c>
      <c r="AF37" s="236">
        <f>IF($AC37=1,RANK(AD37,AD$34:AD$37),0)</f>
        <v>0</v>
      </c>
      <c r="AG37" s="259">
        <f>IF($AC37=2,RANK(AE37,AE$34:AE$37),0)</f>
        <v>0</v>
      </c>
      <c r="AH37" s="257">
        <f>IF(AC37&lt;&gt;"",AB37+AF37+AG37-1,AB37)</f>
        <v>3</v>
      </c>
      <c r="AI37" t="s" s="258">
        <f>IF(COUNTIF(AH$34:AH$37,AH37)=1,"",IF(AND(COUNT(AI$34)&gt;0,AH$34&lt;&gt;AH37),2,1))</f>
      </c>
      <c r="AJ37" t="s" s="218">
        <f>IF($AI37=1,'Ränge1'!Q37,"")</f>
      </c>
      <c r="AK37" t="s" s="218">
        <f>IF($AI37=2,'Ränge1'!Q37,"")</f>
      </c>
      <c r="AL37" s="236">
        <f>IF($AI37=1,RANK(AJ37,AJ$34:AJ$37),0)</f>
        <v>0</v>
      </c>
      <c r="AM37" s="259">
        <f>IF($AI37=2,RANK(AK37,AK$34:AK$37),0)</f>
        <v>0</v>
      </c>
      <c r="AN37" s="257">
        <f>IF(AI37&lt;&gt;"",AH37+AL37+AM37-1,AH37)</f>
        <v>3</v>
      </c>
      <c r="AO37" s="260">
        <f>AN37</f>
        <v>3</v>
      </c>
      <c r="AP37" t="s" s="258">
        <v>62</v>
      </c>
    </row>
    <row r="38" ht="15" customHeight="1">
      <c r="A38" s="241"/>
      <c r="B38" s="242"/>
      <c r="C38" s="242"/>
      <c r="D38" s="242"/>
      <c r="E38" s="242"/>
      <c r="F38" s="242"/>
      <c r="G38" s="242"/>
      <c r="H38" s="275"/>
      <c r="I38" s="281"/>
      <c r="J38" s="282"/>
      <c r="K38" s="283"/>
      <c r="L38" s="219"/>
      <c r="M38" s="219"/>
      <c r="N38" s="219"/>
      <c r="O38" s="284"/>
      <c r="P38" s="282"/>
      <c r="Q38" s="283"/>
      <c r="R38" s="219"/>
      <c r="S38" s="219"/>
      <c r="T38" s="219"/>
      <c r="U38" s="284"/>
      <c r="V38" s="282"/>
      <c r="W38" s="283"/>
      <c r="X38" s="219"/>
      <c r="Y38" s="219"/>
      <c r="Z38" s="219"/>
      <c r="AA38" s="284"/>
      <c r="AB38" s="282"/>
      <c r="AC38" s="283"/>
      <c r="AD38" s="219"/>
      <c r="AE38" s="219"/>
      <c r="AF38" s="219"/>
      <c r="AG38" s="284"/>
      <c r="AH38" s="282"/>
      <c r="AI38" s="283"/>
      <c r="AJ38" s="219"/>
      <c r="AK38" s="219"/>
      <c r="AL38" s="219"/>
      <c r="AM38" s="284"/>
      <c r="AN38" s="282"/>
      <c r="AO38" s="87"/>
      <c r="AP38" s="283"/>
    </row>
    <row r="39" ht="15" customHeight="1">
      <c r="A39" s="244"/>
      <c r="B39" s="219"/>
      <c r="C39" s="219"/>
      <c r="D39" s="219"/>
      <c r="E39" s="219"/>
      <c r="F39" s="219"/>
      <c r="G39" s="247"/>
      <c r="H39" s="248"/>
      <c r="I39" s="249"/>
      <c r="J39" s="285"/>
      <c r="K39" s="219"/>
      <c r="L39" s="219"/>
      <c r="M39" s="219"/>
      <c r="N39" s="219"/>
      <c r="O39" s="219"/>
      <c r="P39" s="285"/>
      <c r="Q39" s="219"/>
      <c r="R39" s="219"/>
      <c r="S39" s="219"/>
      <c r="T39" s="219"/>
      <c r="U39" s="219"/>
      <c r="V39" s="285"/>
      <c r="W39" s="219"/>
      <c r="X39" s="219"/>
      <c r="Y39" s="219"/>
      <c r="Z39" s="219"/>
      <c r="AA39" s="219"/>
      <c r="AB39" s="285"/>
      <c r="AC39" s="219"/>
      <c r="AD39" s="219"/>
      <c r="AE39" s="219"/>
      <c r="AF39" s="219"/>
      <c r="AG39" s="219"/>
      <c r="AH39" s="285"/>
      <c r="AI39" s="219"/>
      <c r="AJ39" s="219"/>
      <c r="AK39" s="219"/>
      <c r="AL39" s="219"/>
      <c r="AM39" s="219"/>
      <c r="AN39" s="285"/>
      <c r="AO39" s="285"/>
      <c r="AP39" s="219"/>
    </row>
    <row r="40" ht="15" customHeight="1">
      <c r="A40" t="s" s="250">
        <v>217</v>
      </c>
      <c r="B40" s="236">
        <f>IF('Tabelle'!M65&gt;'Tabelle'!O65,1,0)</f>
        <v>1</v>
      </c>
      <c r="C40" s="236">
        <f>IF('Tabelle'!M67&gt;'Tabelle'!O67,1,0)</f>
        <v>1</v>
      </c>
      <c r="D40" s="236">
        <f>IF('Tabelle'!O69&gt;'Tabelle'!M69,1,0)</f>
        <v>0</v>
      </c>
      <c r="E40" s="236">
        <f>IF(AND('Tabelle'!M65='Tabelle'!O65,'Tabelle'!M65&lt;&gt;""),1,0)</f>
        <v>0</v>
      </c>
      <c r="F40" s="236">
        <f>IF(AND('Tabelle'!M67='Tabelle'!O67,'Tabelle'!M67&lt;&gt;""),1,0)</f>
        <v>0</v>
      </c>
      <c r="G40" s="236">
        <f>IF(AND('Tabelle'!M69='Tabelle'!O69,'Tabelle'!M69&lt;&gt;""),1,0)</f>
        <v>0</v>
      </c>
      <c r="H40" s="275"/>
      <c r="I40" t="s" s="256">
        <v>75</v>
      </c>
      <c r="J40" s="257">
        <f>RANK('Gruppen'!K42,'Gruppen'!K$42:K$45,0)</f>
        <v>2</v>
      </c>
      <c r="K40" t="s" s="274">
        <f>IF(COUNTIF(J$40:J$43,J40)=1,"",1)</f>
      </c>
      <c r="L40" t="s" s="218">
        <f>IF(K40=1,'Ränge1'!M40,"")</f>
      </c>
      <c r="M40" t="s" s="218">
        <f>IF(K40=2,'Ränge1'!M40,"")</f>
      </c>
      <c r="N40" s="236">
        <f>IF(K40=1,RANK(L40,L$40:L$43),0)</f>
        <v>0</v>
      </c>
      <c r="O40" s="259">
        <f>IF(K40=2,RANK(M40,M$40:M$43),0)</f>
        <v>0</v>
      </c>
      <c r="P40" s="257">
        <f>IF(K40&lt;&gt;"",J40+N40+O40-1,J40)</f>
        <v>2</v>
      </c>
      <c r="Q40" t="s" s="258">
        <f>IF(COUNTIF(P$40:P$43,P40)=1,"",1)</f>
      </c>
      <c r="R40" t="s" s="218">
        <f>IF(Q40=1,'Ränge1'!N40,"")</f>
      </c>
      <c r="S40" t="s" s="218">
        <f>IF(Q40=2,'Ränge1'!N40,"")</f>
      </c>
      <c r="T40" s="236">
        <f>IF($Q40=1,RANK(R40,R$40:R$43),0)</f>
        <v>0</v>
      </c>
      <c r="U40" s="259">
        <f>IF($Q40=2,RANK(S40,S$40:S$43),0)</f>
        <v>0</v>
      </c>
      <c r="V40" s="257">
        <f>IF(Q40&lt;&gt;"",P40+T40+U40-1,P40)</f>
        <v>2</v>
      </c>
      <c r="W40" t="s" s="258">
        <f>IF(COUNTIF(V$40:V$43,V40)=1,"",1)</f>
      </c>
      <c r="X40" t="s" s="218">
        <f>IF(W40=1,'Ränge1'!O40,"")</f>
      </c>
      <c r="Y40" t="s" s="218">
        <f>IF(W40=2,'Ränge1'!O40,"")</f>
      </c>
      <c r="Z40" s="236">
        <f>IF($W40=1,RANK(X40,X$40:X$43),0)</f>
        <v>0</v>
      </c>
      <c r="AA40" s="259">
        <f>IF($W40=2,RANK(Y40,Y$40:Y$43),0)</f>
        <v>0</v>
      </c>
      <c r="AB40" s="257">
        <f>IF(W40&lt;&gt;"",V40+Z40+AA40-1,V40)</f>
        <v>2</v>
      </c>
      <c r="AC40" t="s" s="258">
        <f>IF(COUNTIF(AB$40:AB$43,AB40)=1,"",1)</f>
      </c>
      <c r="AD40" t="s" s="218">
        <f>IF(AC40=1,'Ränge1'!P40,"")</f>
      </c>
      <c r="AE40" t="s" s="218">
        <f>IF(AC40=2,'Ränge1'!P40,"")</f>
      </c>
      <c r="AF40" s="236">
        <f>IF($AC40=1,RANK(AD40,AD$40:AD$43),0)</f>
        <v>0</v>
      </c>
      <c r="AG40" s="259">
        <f>IF($AC40=2,RANK(AE40,AE$40:AE$43),0)</f>
        <v>0</v>
      </c>
      <c r="AH40" s="257">
        <f>IF(AC40&lt;&gt;"",AB40+AF40+AG40-1,AB40)</f>
        <v>2</v>
      </c>
      <c r="AI40" t="s" s="258">
        <f>IF(COUNTIF(AH$40:AH$43,AH40)=1,"",1)</f>
      </c>
      <c r="AJ40" t="s" s="218">
        <f>IF($AI40=1,'Ränge1'!Q40,"")</f>
      </c>
      <c r="AK40" t="s" s="218">
        <f>IF($AI40=2,'Ränge1'!Q40,"")</f>
      </c>
      <c r="AL40" s="236">
        <f>IF($AI40=1,RANK(AJ40,AJ$40:AJ$43),0)</f>
        <v>0</v>
      </c>
      <c r="AM40" s="259">
        <f>IF($AI40=2,RANK(AK40,AK$40:AK$43),0)</f>
        <v>0</v>
      </c>
      <c r="AN40" s="257">
        <f>IF(AI40&lt;&gt;"",AH40+AL40+AM40-1,AH40)</f>
        <v>2</v>
      </c>
      <c r="AO40" s="260">
        <f>AN40</f>
        <v>2</v>
      </c>
      <c r="AP40" t="s" s="258">
        <v>75</v>
      </c>
    </row>
    <row r="41" ht="15" customHeight="1">
      <c r="A41" t="s" s="250">
        <v>218</v>
      </c>
      <c r="B41" s="236">
        <f>IF('Tabelle'!O65&gt;'Tabelle'!M65,1,0)</f>
        <v>0</v>
      </c>
      <c r="C41" s="236">
        <f>IF('Tabelle'!M68&lt;'Tabelle'!O68,1,0)</f>
        <v>0</v>
      </c>
      <c r="D41" s="236">
        <f>IF('Tabelle'!M70&gt;'Tabelle'!O70,1,0)</f>
        <v>0</v>
      </c>
      <c r="E41" s="236">
        <f>IF(AND('Tabelle'!M65='Tabelle'!O65,'Tabelle'!M65&lt;&gt;""),1,0)</f>
        <v>0</v>
      </c>
      <c r="F41" s="236">
        <f>IF(AND('Tabelle'!M68='Tabelle'!O68,'Tabelle'!M68&lt;&gt;""),1,0)</f>
        <v>0</v>
      </c>
      <c r="G41" s="236">
        <f>IF(AND('Tabelle'!M70='Tabelle'!O70,'Tabelle'!M70&lt;&gt;""),1,0)</f>
        <v>1</v>
      </c>
      <c r="H41" s="275"/>
      <c r="I41" t="s" s="256">
        <v>79</v>
      </c>
      <c r="J41" s="257">
        <f>RANK('Gruppen'!K43,'Gruppen'!K$42:K$45,0)</f>
        <v>3</v>
      </c>
      <c r="K41" s="278">
        <f>IF(COUNTIF(J$40:J$43,J41)=1,"",IF(AND(COUNT(K$40)&gt;0,J$40&lt;&gt;J41),2,1))</f>
        <v>1</v>
      </c>
      <c r="L41" s="236">
        <f>IF(K41=1,'Ränge1'!M41,"")</f>
        <v>-6</v>
      </c>
      <c r="M41" t="s" s="218">
        <f>IF(K41=2,'Ränge1'!M41,"")</f>
      </c>
      <c r="N41" s="236">
        <f>IF(K41=1,RANK(L41,L$40:L$43),0)</f>
        <v>2</v>
      </c>
      <c r="O41" s="259">
        <f>IF(K41=2,RANK(M41,M$40:M$43),0)</f>
        <v>0</v>
      </c>
      <c r="P41" s="257">
        <f>IF(K41&lt;&gt;"",J41+N41+O41-1,J41)</f>
        <v>4</v>
      </c>
      <c r="Q41" t="s" s="258">
        <f>IF(COUNTIF(P$40:P$43,P41)=1,"",IF(AND(COUNT(Q$40)&gt;0,P$40&lt;&gt;P41),2,1))</f>
      </c>
      <c r="R41" t="s" s="218">
        <f>IF(Q41=1,'Ränge1'!N41,"")</f>
      </c>
      <c r="S41" t="s" s="218">
        <f>IF(Q41=2,'Ränge1'!N41,"")</f>
      </c>
      <c r="T41" s="236">
        <f>IF($Q41=1,RANK(R41,R$40:R$43),0)</f>
        <v>0</v>
      </c>
      <c r="U41" s="259">
        <f>IF($Q41=2,RANK(S41,S$40:S$43),0)</f>
        <v>0</v>
      </c>
      <c r="V41" s="257">
        <f>IF(Q41&lt;&gt;"",P41+T41+U41-1,P41)</f>
        <v>4</v>
      </c>
      <c r="W41" t="s" s="258">
        <f>IF(COUNTIF(V$40:V$43,V41)=1,"",IF(AND(COUNT(W$28)&gt;0,V$28&lt;&gt;V41),2,1))</f>
      </c>
      <c r="X41" t="s" s="218">
        <f>IF(W41=1,'Ränge1'!O41,"")</f>
      </c>
      <c r="Y41" t="s" s="218">
        <f>IF(W41=2,'Ränge1'!O41,"")</f>
      </c>
      <c r="Z41" s="236">
        <f>IF($W41=1,RANK(X41,X$40:X$43),0)</f>
        <v>0</v>
      </c>
      <c r="AA41" s="259">
        <f>IF($W41=2,RANK(Y41,Y$40:Y$43),0)</f>
        <v>0</v>
      </c>
      <c r="AB41" s="257">
        <f>IF(W41&lt;&gt;"",V41+Z41+AA41-1,V41)</f>
        <v>4</v>
      </c>
      <c r="AC41" t="s" s="258">
        <f>IF(COUNTIF(AB$40:AB$43,AB41)=1,"",IF(AND(COUNT(AC$40)&gt;0,AB$40&lt;&gt;AB41),2,1))</f>
      </c>
      <c r="AD41" t="s" s="218">
        <f>IF(AC41=1,'Ränge1'!P41,"")</f>
      </c>
      <c r="AE41" t="s" s="218">
        <f>IF(AC41=2,'Ränge1'!P41,"")</f>
      </c>
      <c r="AF41" s="236">
        <f>IF($AC41=1,RANK(AD41,AD$40:AD$43),0)</f>
        <v>0</v>
      </c>
      <c r="AG41" s="259">
        <f>IF($AC41=2,RANK(AE41,AE$40:AE$43),0)</f>
        <v>0</v>
      </c>
      <c r="AH41" s="257">
        <f>IF(AC41&lt;&gt;"",AB41+AF41+AG41-1,AB41)</f>
        <v>4</v>
      </c>
      <c r="AI41" t="s" s="258">
        <f>IF(COUNTIF(AH$40:AH$43,AH41)=1,"",IF(AND(COUNT(AI$40)&gt;0,AH$40&lt;&gt;AH41),2,1))</f>
      </c>
      <c r="AJ41" t="s" s="218">
        <f>IF($AI41=1,'Ränge1'!Q41,"")</f>
      </c>
      <c r="AK41" t="s" s="218">
        <f>IF($AI41=2,'Ränge1'!Q41,"")</f>
      </c>
      <c r="AL41" s="236">
        <f>IF($AI41=1,RANK(AJ41,AJ$40:AJ$43),0)</f>
        <v>0</v>
      </c>
      <c r="AM41" s="259">
        <f>IF($AI41=2,RANK(AK41,AK$40:AK$43),0)</f>
        <v>0</v>
      </c>
      <c r="AN41" s="257">
        <f>IF(AI41&lt;&gt;"",AH41+AL41+AM41-1,AH41)</f>
        <v>4</v>
      </c>
      <c r="AO41" s="260">
        <f>AN41</f>
        <v>4</v>
      </c>
      <c r="AP41" t="s" s="258">
        <v>79</v>
      </c>
    </row>
    <row r="42" ht="15" customHeight="1">
      <c r="A42" t="s" s="250">
        <v>219</v>
      </c>
      <c r="B42" s="236">
        <f>IF('Tabelle'!M66&gt;'Tabelle'!O66,1,0)</f>
        <v>0</v>
      </c>
      <c r="C42" s="236">
        <f>IF('Tabelle'!O67&gt;'Tabelle'!M67,1,0)</f>
        <v>0</v>
      </c>
      <c r="D42" s="236">
        <f>IF('Tabelle'!O70&gt;'Tabelle'!M70,1,0)</f>
        <v>0</v>
      </c>
      <c r="E42" s="236">
        <f>IF(AND('Tabelle'!M66='Tabelle'!O66,'Tabelle'!M66&lt;&gt;""),1,0)</f>
        <v>0</v>
      </c>
      <c r="F42" s="236">
        <f>IF(AND('Tabelle'!M67='Tabelle'!O67,'Tabelle'!M67&lt;&gt;""),1,0)</f>
        <v>0</v>
      </c>
      <c r="G42" s="236">
        <f>IF(AND('Tabelle'!M70='Tabelle'!O70,'Tabelle'!M70&lt;&gt;""),1,0)</f>
        <v>1</v>
      </c>
      <c r="H42" s="275"/>
      <c r="I42" t="s" s="256">
        <v>77</v>
      </c>
      <c r="J42" s="257">
        <f>RANK('Gruppen'!K44,'Gruppen'!K$42:K$45,0)</f>
        <v>3</v>
      </c>
      <c r="K42" s="278">
        <f>IF(COUNTIF(J$40:J$43,J42)=1,"",IF(AND(COUNT(K$40)&gt;0,J$40&lt;&gt;J42),2,1))</f>
        <v>1</v>
      </c>
      <c r="L42" s="236">
        <f>IF(K42=1,'Ränge1'!M42,"")</f>
        <v>-4</v>
      </c>
      <c r="M42" t="s" s="218">
        <f>IF(K42=2,'Ränge1'!M42,"")</f>
      </c>
      <c r="N42" s="236">
        <f>IF(K42=1,RANK(L42,L$40:L$43),0)</f>
        <v>1</v>
      </c>
      <c r="O42" s="259">
        <f>IF(K42=2,RANK(M42,M$40:M$43),0)</f>
        <v>0</v>
      </c>
      <c r="P42" s="257">
        <f>IF(K42&lt;&gt;"",J42+N42+O42-1,J42)</f>
        <v>3</v>
      </c>
      <c r="Q42" t="s" s="258">
        <f>IF(COUNTIF(P$40:P$43,P42)=1,"",IF(AND(COUNT(Q$40)&gt;0,P$40&lt;&gt;P42),2,1))</f>
      </c>
      <c r="R42" t="s" s="218">
        <f>IF(Q42=1,'Ränge1'!N42,"")</f>
      </c>
      <c r="S42" t="s" s="218">
        <f>IF(Q42=2,'Ränge1'!N42,"")</f>
      </c>
      <c r="T42" s="236">
        <f>IF($Q42=1,RANK(R42,R$40:R$43),0)</f>
        <v>0</v>
      </c>
      <c r="U42" s="259">
        <f>IF($Q42=2,RANK(S42,S$40:S$43),0)</f>
        <v>0</v>
      </c>
      <c r="V42" s="257">
        <f>IF(Q42&lt;&gt;"",P42+T42+U42-1,P42)</f>
        <v>3</v>
      </c>
      <c r="W42" t="s" s="258">
        <f>IF(COUNTIF(V$40:V$43,V42)=1,"",IF(AND(COUNT(W$28)&gt;0,V$28&lt;&gt;V42),2,1))</f>
      </c>
      <c r="X42" t="s" s="218">
        <f>IF(W42=1,'Ränge1'!O42,"")</f>
      </c>
      <c r="Y42" t="s" s="218">
        <f>IF(W42=2,'Ränge1'!O42,"")</f>
      </c>
      <c r="Z42" s="236">
        <f>IF($W42=1,RANK(X42,X$40:X$43),0)</f>
        <v>0</v>
      </c>
      <c r="AA42" s="259">
        <f>IF($W42=2,RANK(Y42,Y$40:Y$43),0)</f>
        <v>0</v>
      </c>
      <c r="AB42" s="257">
        <f>IF(W42&lt;&gt;"",V42+Z42+AA42-1,V42)</f>
        <v>3</v>
      </c>
      <c r="AC42" t="s" s="258">
        <f>IF(COUNTIF(AB$40:AB$43,AB42)=1,"",IF(AND(COUNT(AC$40)&gt;0,AB$40&lt;&gt;AB42),2,1))</f>
      </c>
      <c r="AD42" t="s" s="218">
        <f>IF(AC42=1,'Ränge1'!P42,"")</f>
      </c>
      <c r="AE42" t="s" s="218">
        <f>IF(AC42=2,'Ränge1'!P42,"")</f>
      </c>
      <c r="AF42" s="236">
        <f>IF($AC42=1,RANK(AD42,AD$40:AD$43),0)</f>
        <v>0</v>
      </c>
      <c r="AG42" s="259">
        <f>IF($AC42=2,RANK(AE42,AE$40:AE$43),0)</f>
        <v>0</v>
      </c>
      <c r="AH42" s="257">
        <f>IF(AC42&lt;&gt;"",AB42+AF42+AG42-1,AB42)</f>
        <v>3</v>
      </c>
      <c r="AI42" t="s" s="258">
        <f>IF(COUNTIF(AH$40:AH$43,AH42)=1,"",IF(AND(COUNT(AI$40)&gt;0,AH$40&lt;&gt;AH42),2,1))</f>
      </c>
      <c r="AJ42" t="s" s="218">
        <f>IF($AI42=1,'Ränge1'!Q42,"")</f>
      </c>
      <c r="AK42" t="s" s="218">
        <f>IF($AI42=2,'Ränge1'!Q42,"")</f>
      </c>
      <c r="AL42" s="236">
        <f>IF($AI42=1,RANK(AJ42,AJ$40:AJ$43),0)</f>
        <v>0</v>
      </c>
      <c r="AM42" s="259">
        <f>IF($AI42=2,RANK(AK42,AK$40:AK$43),0)</f>
        <v>0</v>
      </c>
      <c r="AN42" s="257">
        <f>IF(AI42&lt;&gt;"",AH42+AL42+AM42-1,AH42)</f>
        <v>3</v>
      </c>
      <c r="AO42" s="260">
        <f>AN42</f>
        <v>3</v>
      </c>
      <c r="AP42" t="s" s="258">
        <v>77</v>
      </c>
    </row>
    <row r="43" ht="15" customHeight="1">
      <c r="A43" t="s" s="250">
        <v>220</v>
      </c>
      <c r="B43" s="236">
        <f>IF('Tabelle'!O66&gt;'Tabelle'!M66,1,0)</f>
        <v>1</v>
      </c>
      <c r="C43" s="236">
        <f>IF('Tabelle'!O68&lt;'Tabelle'!M68,1,0)</f>
        <v>1</v>
      </c>
      <c r="D43" s="236">
        <f>IF('Tabelle'!M69&gt;'Tabelle'!O69,1,0)</f>
        <v>1</v>
      </c>
      <c r="E43" s="236">
        <f>IF(AND('Tabelle'!M66='Tabelle'!O66,'Tabelle'!M66&lt;&gt;""),1,0)</f>
        <v>0</v>
      </c>
      <c r="F43" s="236">
        <f>IF(AND('Tabelle'!M68='Tabelle'!O68,'Tabelle'!M68&lt;&gt;""),1,0)</f>
        <v>0</v>
      </c>
      <c r="G43" s="236">
        <f>IF(AND('Tabelle'!M69='Tabelle'!O69,'Tabelle'!M69&lt;&gt;""),1,0)</f>
        <v>0</v>
      </c>
      <c r="H43" s="275"/>
      <c r="I43" t="s" s="256">
        <v>73</v>
      </c>
      <c r="J43" s="257">
        <f>RANK('Gruppen'!K45,'Gruppen'!K$42:K$45,0)</f>
        <v>1</v>
      </c>
      <c r="K43" t="s" s="258">
        <f>IF(COUNTIF(J$40:J$43,J43)=1,"",IF(AND(COUNT(K$40)&gt;0,J$40&lt;&gt;J43),2,1))</f>
      </c>
      <c r="L43" t="s" s="218">
        <f>IF(K43=1,'Ränge1'!M43,"")</f>
      </c>
      <c r="M43" t="s" s="218">
        <f>IF(K43=2,'Ränge1'!M43,"")</f>
      </c>
      <c r="N43" s="236">
        <f>IF(K43=1,RANK(L43,L$40:L$43),0)</f>
        <v>0</v>
      </c>
      <c r="O43" s="259">
        <f>IF(K43=2,RANK(M43,M$40:M$43),0)</f>
        <v>0</v>
      </c>
      <c r="P43" s="257">
        <f>IF(K43&lt;&gt;"",J43+N43+O43-1,J43)</f>
        <v>1</v>
      </c>
      <c r="Q43" t="s" s="258">
        <f>IF(COUNTIF(P$40:P$43,P43)=1,"",IF(AND(COUNT(Q$40)&gt;0,P$40&lt;&gt;P43),2,1))</f>
      </c>
      <c r="R43" t="s" s="218">
        <f>IF(Q43=1,'Ränge1'!N43,"")</f>
      </c>
      <c r="S43" t="s" s="218">
        <f>IF(Q43=2,'Ränge1'!N43,"")</f>
      </c>
      <c r="T43" s="236">
        <f>IF($Q43=1,RANK(R43,R$40:R$43),0)</f>
        <v>0</v>
      </c>
      <c r="U43" s="259">
        <f>IF($Q43=2,RANK(S43,S$40:S$43),0)</f>
        <v>0</v>
      </c>
      <c r="V43" s="257">
        <f>IF(Q43&lt;&gt;"",P43+T43+U43-1,P43)</f>
        <v>1</v>
      </c>
      <c r="W43" t="s" s="258">
        <f>IF(COUNTIF(V$40:V$43,V43)=1,"",IF(AND(COUNT(W$28)&gt;0,V$28&lt;&gt;V43),2,1))</f>
      </c>
      <c r="X43" t="s" s="218">
        <f>IF(W43=1,'Ränge1'!O43,"")</f>
      </c>
      <c r="Y43" t="s" s="218">
        <f>IF(W43=2,'Ränge1'!O43,"")</f>
      </c>
      <c r="Z43" s="236">
        <f>IF($W43=1,RANK(X43,X$40:X$43),0)</f>
        <v>0</v>
      </c>
      <c r="AA43" s="259">
        <f>IF($W43=2,RANK(Y43,Y$40:Y$43),0)</f>
        <v>0</v>
      </c>
      <c r="AB43" s="257">
        <f>IF(W43&lt;&gt;"",V43+Z43+AA43-1,V43)</f>
        <v>1</v>
      </c>
      <c r="AC43" t="s" s="258">
        <f>IF(COUNTIF(AB$40:AB$43,AB43)=1,"",IF(AND(COUNT(AC$40)&gt;0,AB$40&lt;&gt;AB43),2,1))</f>
      </c>
      <c r="AD43" t="s" s="218">
        <f>IF(AC43=1,'Ränge1'!P43,"")</f>
      </c>
      <c r="AE43" t="s" s="218">
        <f>IF(AC43=2,'Ränge1'!P43,"")</f>
      </c>
      <c r="AF43" s="236">
        <f>IF($AC43=1,RANK(AD43,AD$40:AD$43),0)</f>
        <v>0</v>
      </c>
      <c r="AG43" s="259">
        <f>IF($AC43=2,RANK(AE43,AE$40:AE$43),0)</f>
        <v>0</v>
      </c>
      <c r="AH43" s="257">
        <f>IF(AC43&lt;&gt;"",AB43+AF43+AG43-1,AB43)</f>
        <v>1</v>
      </c>
      <c r="AI43" t="s" s="258">
        <f>IF(COUNTIF(AH$40:AH$43,AH43)=1,"",IF(AND(COUNT(AI$40)&gt;0,AH$40&lt;&gt;AH43),2,1))</f>
      </c>
      <c r="AJ43" t="s" s="218">
        <f>IF($AI43=1,'Ränge1'!Q43,"")</f>
      </c>
      <c r="AK43" t="s" s="218">
        <f>IF($AI43=2,'Ränge1'!Q43,"")</f>
      </c>
      <c r="AL43" s="236">
        <f>IF($AI43=1,RANK(AJ43,AJ$40:AJ$43),0)</f>
        <v>0</v>
      </c>
      <c r="AM43" s="259">
        <f>IF($AI43=2,RANK(AK43,AK$40:AK$43),0)</f>
        <v>0</v>
      </c>
      <c r="AN43" s="257">
        <f>IF(AI43&lt;&gt;"",AH43+AL43+AM43-1,AH43)</f>
        <v>1</v>
      </c>
      <c r="AO43" s="260">
        <f>AN43</f>
        <v>1</v>
      </c>
      <c r="AP43" t="s" s="258">
        <v>73</v>
      </c>
    </row>
    <row r="44" ht="15" customHeight="1">
      <c r="A44" s="244"/>
      <c r="B44" s="219"/>
      <c r="C44" s="219"/>
      <c r="D44" s="219"/>
      <c r="E44" s="219"/>
      <c r="F44" s="219"/>
      <c r="G44" s="247"/>
      <c r="H44" s="248"/>
      <c r="I44" s="249"/>
      <c r="J44" s="264"/>
      <c r="K44" s="219"/>
      <c r="L44" s="219"/>
      <c r="M44" s="219"/>
      <c r="N44" s="219"/>
      <c r="O44" s="219"/>
      <c r="P44" s="264"/>
      <c r="Q44" s="219"/>
      <c r="R44" s="219"/>
      <c r="S44" s="219"/>
      <c r="T44" s="219"/>
      <c r="U44" s="219"/>
      <c r="V44" s="264"/>
      <c r="W44" s="219"/>
      <c r="X44" s="219"/>
      <c r="Y44" s="219"/>
      <c r="Z44" s="219"/>
      <c r="AA44" s="219"/>
      <c r="AB44" s="264"/>
      <c r="AC44" s="219"/>
      <c r="AD44" s="219"/>
      <c r="AE44" s="219"/>
      <c r="AF44" s="219"/>
      <c r="AG44" s="219"/>
      <c r="AH44" s="264"/>
      <c r="AI44" s="219"/>
      <c r="AJ44" s="219"/>
      <c r="AK44" s="219"/>
      <c r="AL44" s="219"/>
      <c r="AM44" s="219"/>
      <c r="AN44" s="264"/>
      <c r="AO44" s="264"/>
      <c r="AP44" s="219"/>
    </row>
    <row r="45" ht="15" customHeight="1">
      <c r="A45" s="244"/>
      <c r="B45" s="219"/>
      <c r="C45" s="219"/>
      <c r="D45" s="219"/>
      <c r="E45" s="219"/>
      <c r="F45" s="219"/>
      <c r="G45" s="247"/>
      <c r="H45" s="248"/>
      <c r="I45" s="249"/>
      <c r="J45" s="276"/>
      <c r="K45" s="219"/>
      <c r="L45" s="219"/>
      <c r="M45" s="219"/>
      <c r="N45" s="219"/>
      <c r="O45" s="219"/>
      <c r="P45" s="276"/>
      <c r="Q45" s="219"/>
      <c r="R45" s="219"/>
      <c r="S45" s="219"/>
      <c r="T45" s="219"/>
      <c r="U45" s="219"/>
      <c r="V45" s="276"/>
      <c r="W45" s="219"/>
      <c r="X45" s="219"/>
      <c r="Y45" s="219"/>
      <c r="Z45" s="219"/>
      <c r="AA45" s="219"/>
      <c r="AB45" s="276"/>
      <c r="AC45" s="219"/>
      <c r="AD45" s="219"/>
      <c r="AE45" s="219"/>
      <c r="AF45" s="219"/>
      <c r="AG45" s="219"/>
      <c r="AH45" s="276"/>
      <c r="AI45" s="219"/>
      <c r="AJ45" s="219"/>
      <c r="AK45" s="219"/>
      <c r="AL45" s="219"/>
      <c r="AM45" s="219"/>
      <c r="AN45" s="276"/>
      <c r="AO45" s="276"/>
      <c r="AP45" s="219"/>
    </row>
    <row r="46" ht="15" customHeight="1">
      <c r="A46" t="s" s="250">
        <v>221</v>
      </c>
      <c r="B46" s="236">
        <f>IF('Tabelle'!AD66&gt;'Tabelle'!AF66,1,0)</f>
        <v>1</v>
      </c>
      <c r="C46" s="236">
        <f>IF('Tabelle'!AD68&gt;'Tabelle'!AF68,1,0)</f>
        <v>1</v>
      </c>
      <c r="D46" s="236">
        <f>IF('Tabelle'!AF69&gt;'Tabelle'!AD69,1,0)</f>
        <v>0</v>
      </c>
      <c r="E46" s="236">
        <f>IF(AND('Tabelle'!AD66='Tabelle'!AF66,'Tabelle'!AD66&lt;&gt;""),1,0)</f>
        <v>0</v>
      </c>
      <c r="F46" s="236">
        <f>IF(AND('Tabelle'!AD68='Tabelle'!AF68,'Tabelle'!AD68&lt;&gt;""),1,0)</f>
        <v>0</v>
      </c>
      <c r="G46" s="236">
        <f>IF(AND('Tabelle'!AD69='Tabelle'!AF69,'Tabelle'!AD69&lt;&gt;""),1,0)</f>
        <v>1</v>
      </c>
      <c r="H46" s="275"/>
      <c r="I46" t="s" s="256">
        <v>74</v>
      </c>
      <c r="J46" s="257">
        <f>RANK('Gruppen'!K48,'Gruppen'!K$48:K$51,0)</f>
        <v>1</v>
      </c>
      <c r="K46" t="s" s="274">
        <f>IF(COUNTIF(J$46:J$49,J46)=1,"",1)</f>
      </c>
      <c r="L46" t="s" s="218">
        <f>IF(K46=1,'Ränge1'!M46,"")</f>
      </c>
      <c r="M46" t="s" s="218">
        <f>IF(K46=2,'Ränge1'!M46,"")</f>
      </c>
      <c r="N46" s="236">
        <f>IF(K46=1,RANK(L46,L$46:L$49),0)</f>
        <v>0</v>
      </c>
      <c r="O46" s="259">
        <f>IF(K46=2,RANK(M46,M$46:M$49),0)</f>
        <v>0</v>
      </c>
      <c r="P46" s="257">
        <f>IF(K46&lt;&gt;"",J46+N46+O46-1,J46)</f>
        <v>1</v>
      </c>
      <c r="Q46" t="s" s="258">
        <f>IF(COUNTIF(P$46:P$49,P46)=1,"",1)</f>
      </c>
      <c r="R46" t="s" s="218">
        <f>IF(Q46=1,'Ränge1'!N46,"")</f>
      </c>
      <c r="S46" t="s" s="218">
        <f>IF(Q46=2,'Ränge1'!N46,"")</f>
      </c>
      <c r="T46" s="236">
        <f>IF($Q46=1,RANK(R46,R$46:R$49),0)</f>
        <v>0</v>
      </c>
      <c r="U46" s="259">
        <f>IF($Q46=2,RANK(S46,S$46:S$49),0)</f>
        <v>0</v>
      </c>
      <c r="V46" s="257">
        <f>IF(Q46&lt;&gt;"",P46+T46+U46-1,P46)</f>
        <v>1</v>
      </c>
      <c r="W46" t="s" s="258">
        <f>IF(COUNTIF(V$46:V$49,V46)=1,"",1)</f>
      </c>
      <c r="X46" t="s" s="218">
        <f>IF(W46=1,'Ränge1'!O46,"")</f>
      </c>
      <c r="Y46" t="s" s="218">
        <f>IF(W46=2,'Ränge1'!O46,"")</f>
      </c>
      <c r="Z46" s="236">
        <f>IF($W46=1,RANK(X46,X$46:X$49),0)</f>
        <v>0</v>
      </c>
      <c r="AA46" s="259">
        <f>IF($W46=2,RANK(Y46,Y$46:Y$49),0)</f>
        <v>0</v>
      </c>
      <c r="AB46" s="257">
        <f>IF(W46&lt;&gt;"",V46+Z46+AA46-1,V46)</f>
        <v>1</v>
      </c>
      <c r="AC46" t="s" s="258">
        <f>IF(COUNTIF(AB$46:AB$49,AB46)=1,"",1)</f>
      </c>
      <c r="AD46" t="s" s="218">
        <f>IF(AC46=1,'Ränge1'!P46,"")</f>
      </c>
      <c r="AE46" t="s" s="218">
        <f>IF(AC46=2,'Ränge1'!P46,"")</f>
      </c>
      <c r="AF46" s="236">
        <f>IF($AC46=1,RANK(AD46,AD$46:AD$49),0)</f>
        <v>0</v>
      </c>
      <c r="AG46" s="259">
        <f>IF($AC46=2,RANK(AE46,AE$46:AE$49),0)</f>
        <v>0</v>
      </c>
      <c r="AH46" s="257">
        <f>IF(AC46&lt;&gt;"",AB46+AF46+AG46-1,AB46)</f>
        <v>1</v>
      </c>
      <c r="AI46" t="s" s="258">
        <f>IF(COUNTIF(AH$46:AH$49,AH46)=1,"",1)</f>
      </c>
      <c r="AJ46" t="s" s="218">
        <f>IF($AI46=1,'Ränge1'!Q46,"")</f>
      </c>
      <c r="AK46" t="s" s="218">
        <f>IF($AI46=2,'Ränge1'!Q46,"")</f>
      </c>
      <c r="AL46" s="236">
        <f>IF($AI46=1,RANK(AJ46,AJ$46:AJ$49),0)</f>
        <v>0</v>
      </c>
      <c r="AM46" s="259">
        <f>IF($AI46=2,RANK(AK46,AK$46:AK$49),0)</f>
        <v>0</v>
      </c>
      <c r="AN46" s="257">
        <f>IF(AI46&lt;&gt;"",AH46+AL46+AM46-1,AH46)</f>
        <v>1</v>
      </c>
      <c r="AO46" s="260">
        <f>AN46</f>
        <v>1</v>
      </c>
      <c r="AP46" t="s" s="258">
        <v>74</v>
      </c>
    </row>
    <row r="47" ht="15" customHeight="1">
      <c r="A47" t="s" s="250">
        <v>222</v>
      </c>
      <c r="B47" s="236">
        <f>IF('Tabelle'!AF66&gt;'Tabelle'!AD66,1,0)</f>
        <v>0</v>
      </c>
      <c r="C47" s="236">
        <f>IF('Tabelle'!AD67&lt;'Tabelle'!AF67,1,0)</f>
        <v>0</v>
      </c>
      <c r="D47" s="236">
        <f>IF('Tabelle'!AD70&gt;'Tabelle'!AF70,1,0)</f>
        <v>0</v>
      </c>
      <c r="E47" s="236">
        <f>IF(AND('Tabelle'!AD66='Tabelle'!AF66,'Tabelle'!AD66&lt;&gt;""),1,0)</f>
        <v>0</v>
      </c>
      <c r="F47" s="236">
        <f>IF(AND('Tabelle'!AD67='Tabelle'!AF67,'Tabelle'!AD67&lt;&gt;""),1,0)</f>
        <v>0</v>
      </c>
      <c r="G47" s="236">
        <f>IF(AND('Tabelle'!AD70='Tabelle'!AF70,'Tabelle'!AD70&lt;&gt;""),1,0)</f>
        <v>0</v>
      </c>
      <c r="H47" s="275"/>
      <c r="I47" t="s" s="256">
        <v>80</v>
      </c>
      <c r="J47" s="257">
        <f>RANK('Gruppen'!K49,'Gruppen'!K$48:K$51,0)</f>
        <v>4</v>
      </c>
      <c r="K47" t="s" s="258">
        <f>IF(COUNTIF(J$46:J$49,J47)=1,"",IF(AND(COUNT(K$46)&gt;0,J$46&lt;&gt;J47),2,1))</f>
      </c>
      <c r="L47" t="s" s="218">
        <f>IF(K47=1,'Ränge1'!M47,"")</f>
      </c>
      <c r="M47" t="s" s="218">
        <f>IF(K47=2,'Ränge1'!M47,"")</f>
      </c>
      <c r="N47" s="236">
        <f>IF(K47=1,RANK(L47,L$46:L$49),0)</f>
        <v>0</v>
      </c>
      <c r="O47" s="259">
        <f>IF(K47=2,RANK(M47,M$46:M$49),0)</f>
        <v>0</v>
      </c>
      <c r="P47" s="257">
        <f>IF(K47&lt;&gt;"",J47+N47+O47-1,J47)</f>
        <v>4</v>
      </c>
      <c r="Q47" t="s" s="258">
        <f>IF(COUNTIF(P$46:P$49,P47)=1,"",IF(AND(COUNT(Q$46)&gt;0,P$46&lt;&gt;P47),2,1))</f>
      </c>
      <c r="R47" t="s" s="218">
        <f>IF(Q47=1,'Ränge1'!N47,"")</f>
      </c>
      <c r="S47" t="s" s="218">
        <f>IF(Q47=2,'Ränge1'!N47,"")</f>
      </c>
      <c r="T47" s="236">
        <f>IF($Q47=1,RANK(R47,R$46:R$49),0)</f>
        <v>0</v>
      </c>
      <c r="U47" s="259">
        <f>IF($Q47=2,RANK(S47,S$46:S$49),0)</f>
        <v>0</v>
      </c>
      <c r="V47" s="257">
        <f>IF(Q47&lt;&gt;"",P47+T47+U47-1,P47)</f>
        <v>4</v>
      </c>
      <c r="W47" t="s" s="258">
        <f>IF(COUNTIF(V$46:V$49,V47)=1,"",IF(AND(COUNT(W$46)&gt;0,V$46&lt;&gt;V47),2,1))</f>
      </c>
      <c r="X47" t="s" s="218">
        <f>IF(W47=1,'Ränge1'!O47,"")</f>
      </c>
      <c r="Y47" t="s" s="218">
        <f>IF(W47=2,'Ränge1'!O47,"")</f>
      </c>
      <c r="Z47" s="236">
        <f>IF($W47=1,RANK(X47,X$46:X$49),0)</f>
        <v>0</v>
      </c>
      <c r="AA47" s="259">
        <f>IF($W47=2,RANK(Y47,Y$46:Y$49),0)</f>
        <v>0</v>
      </c>
      <c r="AB47" s="257">
        <f>IF(W47&lt;&gt;"",V47+Z47+AA47-1,V47)</f>
        <v>4</v>
      </c>
      <c r="AC47" t="s" s="258">
        <f>IF(COUNTIF(AB$46:AB$49,AB47)=1,"",IF(AND(COUNT(AC$46)&gt;0,AB$46&lt;&gt;AB47),2,1))</f>
      </c>
      <c r="AD47" t="s" s="218">
        <f>IF(AC47=1,'Ränge1'!P47,"")</f>
      </c>
      <c r="AE47" t="s" s="218">
        <f>IF(AC47=2,'Ränge1'!P47,"")</f>
      </c>
      <c r="AF47" s="236">
        <f>IF($AC47=1,RANK(AD47,AD$46:AD$49),0)</f>
        <v>0</v>
      </c>
      <c r="AG47" s="259">
        <f>IF($AC47=2,RANK(AE47,AE$46:AE$49),0)</f>
        <v>0</v>
      </c>
      <c r="AH47" s="257">
        <f>IF(AC47&lt;&gt;"",AB47+AF47+AG47-1,AB47)</f>
        <v>4</v>
      </c>
      <c r="AI47" t="s" s="258">
        <f>IF(COUNTIF(AH$46:AH$49,AH47)=1,"",IF(AND(COUNT(AI$46)&gt;0,AH$46&lt;&gt;AH47),2,1))</f>
      </c>
      <c r="AJ47" t="s" s="218">
        <f>IF($AI47=1,'Ränge1'!Q47,"")</f>
      </c>
      <c r="AK47" t="s" s="218">
        <f>IF($AI47=2,'Ränge1'!Q47,"")</f>
      </c>
      <c r="AL47" s="236">
        <f>IF($AI47=1,RANK(AJ47,AJ$46:AJ$49),0)</f>
        <v>0</v>
      </c>
      <c r="AM47" s="259">
        <f>IF($AI47=2,RANK(AK47,AK$46:AK$49),0)</f>
        <v>0</v>
      </c>
      <c r="AN47" s="257">
        <f>IF(AI47&lt;&gt;"",AH47+AL47+AM47-1,AH47)</f>
        <v>4</v>
      </c>
      <c r="AO47" s="260">
        <f>AN47</f>
        <v>4</v>
      </c>
      <c r="AP47" t="s" s="258">
        <v>80</v>
      </c>
    </row>
    <row r="48" ht="15" customHeight="1">
      <c r="A48" t="s" s="250">
        <v>223</v>
      </c>
      <c r="B48" s="236">
        <f>IF('Tabelle'!AD65&gt;'Tabelle'!AF65,1,0)</f>
        <v>0</v>
      </c>
      <c r="C48" s="236">
        <f>IF('Tabelle'!AF68&gt;'Tabelle'!AD68,1,0)</f>
        <v>0</v>
      </c>
      <c r="D48" s="236">
        <f>IF('Tabelle'!AF70&gt;'Tabelle'!AD70,1,0)</f>
        <v>1</v>
      </c>
      <c r="E48" s="236">
        <f>IF(AND('Tabelle'!AD65='Tabelle'!AF65,'Tabelle'!AD65&lt;&gt;""),1,0)</f>
        <v>1</v>
      </c>
      <c r="F48" s="236">
        <f>IF(AND('Tabelle'!AD68='Tabelle'!AF68,'Tabelle'!AD68&lt;&gt;""),1,0)</f>
        <v>0</v>
      </c>
      <c r="G48" s="236">
        <f>IF(AND('Tabelle'!AD70='Tabelle'!AF70,'Tabelle'!AD70&lt;&gt;""),1,0)</f>
        <v>0</v>
      </c>
      <c r="H48" s="275"/>
      <c r="I48" t="s" s="256">
        <v>78</v>
      </c>
      <c r="J48" s="257">
        <f>RANK('Gruppen'!K50,'Gruppen'!K$48:K$51,0)</f>
        <v>3</v>
      </c>
      <c r="K48" t="s" s="258">
        <f>IF(COUNTIF(J$46:J$49,J48)=1,"",IF(AND(COUNT(K$46)&gt;0,J$46&lt;&gt;J48),2,1))</f>
      </c>
      <c r="L48" t="s" s="218">
        <f>IF(K48=1,'Ränge1'!M48,"")</f>
      </c>
      <c r="M48" t="s" s="218">
        <f>IF(K48=2,'Ränge1'!M48,"")</f>
      </c>
      <c r="N48" s="236">
        <f>IF(K48=1,RANK(L48,L$46:L$49),0)</f>
        <v>0</v>
      </c>
      <c r="O48" s="259">
        <f>IF(K48=2,RANK(M48,M$46:M$49),0)</f>
        <v>0</v>
      </c>
      <c r="P48" s="257">
        <f>IF(K48&lt;&gt;"",J48+N48+O48-1,J48)</f>
        <v>3</v>
      </c>
      <c r="Q48" t="s" s="258">
        <f>IF(COUNTIF(P$46:P$49,P48)=1,"",IF(AND(COUNT(Q$46)&gt;0,P$46&lt;&gt;P48),2,1))</f>
      </c>
      <c r="R48" t="s" s="218">
        <f>IF(Q48=1,'Ränge1'!N48,"")</f>
      </c>
      <c r="S48" t="s" s="218">
        <f>IF(Q48=2,'Ränge1'!N48,"")</f>
      </c>
      <c r="T48" s="236">
        <f>IF($Q48=1,RANK(R48,R$46:R$49),0)</f>
        <v>0</v>
      </c>
      <c r="U48" s="259">
        <f>IF($Q48=2,RANK(S48,S$46:S$49),0)</f>
        <v>0</v>
      </c>
      <c r="V48" s="257">
        <f>IF(Q48&lt;&gt;"",P48+T48+U48-1,P48)</f>
        <v>3</v>
      </c>
      <c r="W48" t="s" s="258">
        <f>IF(COUNTIF(V$46:V$49,V48)=1,"",IF(AND(COUNT(W$46)&gt;0,V$46&lt;&gt;V48),2,1))</f>
      </c>
      <c r="X48" t="s" s="218">
        <f>IF(W48=1,'Ränge1'!O48,"")</f>
      </c>
      <c r="Y48" t="s" s="218">
        <f>IF(W48=2,'Ränge1'!O48,"")</f>
      </c>
      <c r="Z48" s="236">
        <f>IF($W48=1,RANK(X48,X$46:X$49),0)</f>
        <v>0</v>
      </c>
      <c r="AA48" s="259">
        <f>IF($W48=2,RANK(Y48,Y$46:Y$49),0)</f>
        <v>0</v>
      </c>
      <c r="AB48" s="257">
        <f>IF(W48&lt;&gt;"",V48+Z48+AA48-1,V48)</f>
        <v>3</v>
      </c>
      <c r="AC48" t="s" s="258">
        <f>IF(COUNTIF(AB$46:AB$49,AB48)=1,"",IF(AND(COUNT(AC$46)&gt;0,AB$46&lt;&gt;AB48),2,1))</f>
      </c>
      <c r="AD48" t="s" s="218">
        <f>IF(AC48=1,'Ränge1'!P48,"")</f>
      </c>
      <c r="AE48" t="s" s="218">
        <f>IF(AC48=2,'Ränge1'!P48,"")</f>
      </c>
      <c r="AF48" s="236">
        <f>IF($AC48=1,RANK(AD48,AD$46:AD$49),0)</f>
        <v>0</v>
      </c>
      <c r="AG48" s="259">
        <f>IF($AC48=2,RANK(AE48,AE$46:AE$49),0)</f>
        <v>0</v>
      </c>
      <c r="AH48" s="257">
        <f>IF(AC48&lt;&gt;"",AB48+AF48+AG48-1,AB48)</f>
        <v>3</v>
      </c>
      <c r="AI48" t="s" s="258">
        <f>IF(COUNTIF(AH$46:AH$49,AH48)=1,"",IF(AND(COUNT(AI$46)&gt;0,AH$46&lt;&gt;AH48),2,1))</f>
      </c>
      <c r="AJ48" t="s" s="218">
        <f>IF($AI48=1,'Ränge1'!Q48,"")</f>
      </c>
      <c r="AK48" t="s" s="218">
        <f>IF($AI48=2,'Ränge1'!Q48,"")</f>
      </c>
      <c r="AL48" s="236">
        <f>IF($AI48=1,RANK(AJ48,AJ$46:AJ$49),0)</f>
        <v>0</v>
      </c>
      <c r="AM48" s="259">
        <f>IF($AI48=2,RANK(AK48,AK$46:AK$49),0)</f>
        <v>0</v>
      </c>
      <c r="AN48" s="257">
        <f>IF(AI48&lt;&gt;"",AH48+AL48+AM48-1,AH48)</f>
        <v>3</v>
      </c>
      <c r="AO48" s="260">
        <f>AN48</f>
        <v>3</v>
      </c>
      <c r="AP48" t="s" s="258">
        <v>78</v>
      </c>
    </row>
    <row r="49" ht="15.75" customHeight="1">
      <c r="A49" t="s" s="279">
        <v>224</v>
      </c>
      <c r="B49" s="280">
        <f>IF('Tabelle'!AF65&gt;'Tabelle'!AD65,1,0)</f>
        <v>0</v>
      </c>
      <c r="C49" s="280">
        <f>IF('Tabelle'!AF67&lt;'Tabelle'!AD67,1,0)</f>
        <v>1</v>
      </c>
      <c r="D49" s="280">
        <f>IF('Tabelle'!AD69&gt;'Tabelle'!AF69,1,0)</f>
        <v>0</v>
      </c>
      <c r="E49" s="280">
        <f>IF(AND('Tabelle'!AD65='Tabelle'!AF65,'Tabelle'!AD65&lt;&gt;""),1,0)</f>
        <v>1</v>
      </c>
      <c r="F49" s="280">
        <f>IF(AND('Tabelle'!AD67='Tabelle'!AF67,'Tabelle'!AD67&lt;&gt;""),1,0)</f>
        <v>0</v>
      </c>
      <c r="G49" s="280">
        <f>IF(AND('Tabelle'!AD69='Tabelle'!AF69,'Tabelle'!AD69&lt;&gt;""),1,0)</f>
        <v>1</v>
      </c>
      <c r="H49" s="275"/>
      <c r="I49" t="s" s="256">
        <v>76</v>
      </c>
      <c r="J49" s="286">
        <f>RANK('Gruppen'!K51,'Gruppen'!K$48:K$51,0)</f>
        <v>2</v>
      </c>
      <c r="K49" t="s" s="258">
        <f>IF(COUNTIF(J$46:J$49,J49)=1,"",IF(AND(COUNT(K$46)&gt;0,J$46&lt;&gt;J49),2,1))</f>
      </c>
      <c r="L49" t="s" s="218">
        <f>IF(K49=1,'Ränge1'!M49,"")</f>
      </c>
      <c r="M49" t="s" s="218">
        <f>IF(K49=2,'Ränge1'!M49,"")</f>
      </c>
      <c r="N49" s="236">
        <f>IF(K49=1,RANK(L49,L$46:L$49),0)</f>
        <v>0</v>
      </c>
      <c r="O49" s="259">
        <f>IF(K49=2,RANK(M49,M$46:M$49),0)</f>
        <v>0</v>
      </c>
      <c r="P49" s="286">
        <f>IF(K49&lt;&gt;"",J49+N49+O49-1,J49)</f>
        <v>2</v>
      </c>
      <c r="Q49" t="s" s="258">
        <f>IF(COUNTIF(P$46:P$49,P49)=1,"",IF(AND(COUNT(Q$46)&gt;0,P$46&lt;&gt;P49),2,1))</f>
      </c>
      <c r="R49" t="s" s="218">
        <f>IF(Q49=1,'Ränge1'!N49,"")</f>
      </c>
      <c r="S49" t="s" s="218">
        <f>IF(Q49=2,'Ränge1'!N49,"")</f>
      </c>
      <c r="T49" s="236">
        <f>IF($Q49=1,RANK(R49,R$46:R$49),0)</f>
        <v>0</v>
      </c>
      <c r="U49" s="259">
        <f>IF($Q49=2,RANK(S49,S$46:S$49),0)</f>
        <v>0</v>
      </c>
      <c r="V49" s="286">
        <f>IF(Q49&lt;&gt;"",P49+T49+U49-1,P49)</f>
        <v>2</v>
      </c>
      <c r="W49" t="s" s="258">
        <f>IF(COUNTIF(V$46:V$49,V49)=1,"",IF(AND(COUNT(W$46)&gt;0,V$46&lt;&gt;V49),2,1))</f>
      </c>
      <c r="X49" t="s" s="218">
        <f>IF(W49=1,'Ränge1'!O49,"")</f>
      </c>
      <c r="Y49" t="s" s="218">
        <f>IF(W49=2,'Ränge1'!O49,"")</f>
      </c>
      <c r="Z49" s="236">
        <f>IF($W49=1,RANK(X49,X$46:X$49),0)</f>
        <v>0</v>
      </c>
      <c r="AA49" s="259">
        <f>IF($W49=2,RANK(Y49,Y$46:Y$49),0)</f>
        <v>0</v>
      </c>
      <c r="AB49" s="286">
        <f>IF(W49&lt;&gt;"",V49+Z49+AA49-1,V49)</f>
        <v>2</v>
      </c>
      <c r="AC49" t="s" s="258">
        <f>IF(COUNTIF(AB$46:AB$49,AB49)=1,"",IF(AND(COUNT(AC$46)&gt;0,AB$46&lt;&gt;AB49),2,1))</f>
      </c>
      <c r="AD49" t="s" s="218">
        <f>IF(AC49=1,'Ränge1'!P49,"")</f>
      </c>
      <c r="AE49" t="s" s="218">
        <f>IF(AC49=2,'Ränge1'!P49,"")</f>
      </c>
      <c r="AF49" s="236">
        <f>IF($AC49=1,RANK(AD49,AD$46:AD$49),0)</f>
        <v>0</v>
      </c>
      <c r="AG49" s="259">
        <f>IF($AC49=2,RANK(AE49,AE$46:AE$49),0)</f>
        <v>0</v>
      </c>
      <c r="AH49" s="286">
        <f>IF(AC49&lt;&gt;"",AB49+AF49+AG49-1,AB49)</f>
        <v>2</v>
      </c>
      <c r="AI49" t="s" s="258">
        <f>IF(COUNTIF(AH$46:AH$49,AH49)=1,"",IF(AND(COUNT(AI$46)&gt;0,AH$46&lt;&gt;AH49),2,1))</f>
      </c>
      <c r="AJ49" t="s" s="218">
        <f>IF($AI49=1,'Ränge1'!Q49,"")</f>
      </c>
      <c r="AK49" t="s" s="218">
        <f>IF($AI49=2,'Ränge1'!Q49,"")</f>
      </c>
      <c r="AL49" s="236">
        <f>IF($AI49=1,RANK(AJ49,AJ$46:AJ$49),0)</f>
        <v>0</v>
      </c>
      <c r="AM49" s="259">
        <f>IF($AI49=2,RANK(AK49,AK$46:AK$49),0)</f>
        <v>0</v>
      </c>
      <c r="AN49" s="286">
        <f>IF(AI49&lt;&gt;"",AH49+AL49+AM49-1,AH49)</f>
        <v>2</v>
      </c>
      <c r="AO49" s="287">
        <f>AN49</f>
        <v>2</v>
      </c>
      <c r="AP49" t="s" s="258">
        <v>76</v>
      </c>
    </row>
  </sheetData>
  <mergeCells count="1">
    <mergeCell ref="B2:D2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X21"/>
  <sheetViews>
    <sheetView workbookViewId="0" showGridLines="0" defaultGridColor="1"/>
  </sheetViews>
  <sheetFormatPr defaultColWidth="11.5" defaultRowHeight="15" customHeight="1" outlineLevelRow="0" outlineLevelCol="0"/>
  <cols>
    <col min="1" max="1" width="11.5" style="288" customWidth="1"/>
    <col min="2" max="2" width="13.5" style="288" customWidth="1"/>
    <col min="3" max="3" width="11.5" style="288" customWidth="1"/>
    <col min="4" max="4" width="11.5" style="288" customWidth="1"/>
    <col min="5" max="5" width="11.5" style="288" customWidth="1"/>
    <col min="6" max="6" width="11.5" style="288" customWidth="1"/>
    <col min="7" max="7" width="11.5" style="288" customWidth="1"/>
    <col min="8" max="8" width="11.5" style="288" customWidth="1"/>
    <col min="9" max="9" width="11.5" style="288" customWidth="1"/>
    <col min="10" max="10" width="11.5" style="288" customWidth="1"/>
    <col min="11" max="11" width="11.5" style="288" customWidth="1"/>
    <col min="12" max="12" width="11.5" style="288" customWidth="1"/>
    <col min="13" max="13" width="11.5" style="288" customWidth="1"/>
    <col min="14" max="14" width="11.5" style="288" customWidth="1"/>
    <col min="15" max="15" width="11.5" style="288" customWidth="1"/>
    <col min="16" max="16" width="11.5" style="288" customWidth="1"/>
    <col min="17" max="17" width="11.5" style="288" customWidth="1"/>
    <col min="18" max="18" width="11.5" style="288" customWidth="1"/>
    <col min="19" max="19" width="11.5" style="288" customWidth="1"/>
    <col min="20" max="20" width="11.5" style="288" customWidth="1"/>
    <col min="21" max="21" width="11.5" style="288" customWidth="1"/>
    <col min="22" max="22" width="11.5" style="288" customWidth="1"/>
    <col min="23" max="23" width="11.5" style="288" customWidth="1"/>
    <col min="24" max="24" width="11.5" style="288" customWidth="1"/>
    <col min="25" max="256" width="11.5" style="288" customWidth="1"/>
  </cols>
  <sheetData>
    <row r="1" ht="1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ht="15" customHeight="1">
      <c r="A2" s="219"/>
      <c r="B2" t="s" s="218">
        <v>225</v>
      </c>
      <c r="C2" s="219"/>
      <c r="D2" s="219"/>
      <c r="E2" s="219"/>
      <c r="F2" s="219"/>
      <c r="G2" s="219"/>
      <c r="H2" t="s" s="218">
        <v>226</v>
      </c>
      <c r="I2" s="236">
        <f>IF(COUNTIF(H$5:H$10,H5)&gt;1,H5,IF(COUNTIF(H$5:H$10,H6)&gt;1,H6,IF(COUNTIF(H$5:H$10,H7)&gt;1,H7,IF(COUNTIF(H$5:H$10,H8)&gt;1,H8,IF(COUNTIF(H$5:H$10,H9)&gt;1,H9,IF(COUNTIF(H$5:H$10,H10)&gt;1,H10,""))))))</f>
        <v>1</v>
      </c>
      <c r="J2" s="236">
        <f>IF(AND(COUNTIF(H$5:H$10,H6)&gt;1,H6&lt;&gt;I2),H6,IF(AND(COUNTIF(H$5:H$10,H7)&gt;1,H7&lt;&gt;I2),H7,IF(AND(COUNTIF(H$5:H$10,H8)&gt;1,H8&lt;&gt;I2),H8,IF(AND(COUNTIF(H$5:H$10,H9)&gt;1,H9&lt;&gt;I2),H9,IF(AND(COUNTIF(H$5:H$10,H10)&gt;1,H10&lt;&gt;I2),H10,"")))))</f>
        <v>3</v>
      </c>
      <c r="K2" t="s" s="218">
        <f>IF(AND(COUNTIF(H$5:H$10,H7)&gt;1,H7&lt;&gt;I2,H7&lt;&gt;J2),H7,IF(AND(COUNTIF(H$5:H$10,H8)&gt;1,H8&lt;&gt;I2,H8&lt;&gt;J2),H8,IF(AND(COUNTIF(H$5:H$10,H9)&gt;1,H9&lt;&gt;I2,H9&lt;&gt;J2),H9,IF(AND(COUNTIF(H$5:H$10,H10)&gt;1,H10&lt;&gt;I2,H10&lt;&gt;J2),H10,""))))</f>
      </c>
      <c r="L2" s="219"/>
      <c r="M2" s="219"/>
      <c r="N2" s="219"/>
      <c r="O2" s="219"/>
      <c r="P2" t="s" s="218">
        <v>226</v>
      </c>
      <c r="Q2" s="236">
        <f>IF(COUNTIF(P$5:P$10,P5)&gt;1,P5,IF(COUNTIF(P$5:P$10,P6)&gt;1,P6,IF(COUNTIF(P$5:P$10,P7)&gt;1,P7,IF(COUNTIF(P$5:P$10,P8)&gt;1,P8,IF(COUNTIF(P$5:P$10,P9)&gt;1,P9,IF(COUNTIF(P$5:P$10,P10)&gt;1,P10,""))))))</f>
        <v>1</v>
      </c>
      <c r="R2" s="236">
        <f>IF(AND(COUNTIF(P$5:P$10,P6)&gt;1,P6&lt;&gt;Q2),P6,IF(AND(COUNTIF(P$5:P$10,P7)&gt;1,P7&lt;&gt;Q2),P7,IF(AND(COUNTIF(P$5:P$10,P8)&gt;1,P8&lt;&gt;Q2),P8,IF(AND(COUNTIF(P$5:P$10,P9)&gt;1,P9&lt;&gt;Q2),P9,IF(AND(COUNTIF(P$5:P$10,P10)&gt;1,P10&lt;&gt;Q2),P10,"")))))</f>
        <v>4</v>
      </c>
      <c r="S2" t="s" s="218">
        <f>IF(AND(COUNTIF(P$5:P$10,P7)&gt;1,P7&lt;&gt;Q2,P7&lt;&gt;R2),P7,IF(AND(COUNTIF(P$5:P$10,P8)&gt;1,P8&lt;&gt;Q2,P8&lt;&gt;R2),P8,IF(AND(COUNTIF(P$5:P$10,P9)&gt;1,P9&lt;&gt;Q2,P9&lt;&gt;R2),P9,IF(AND(COUNTIF(P$5:P$10,P10)&gt;1,P10&lt;&gt;Q2,P10&lt;&gt;R2),P10,""))))</f>
      </c>
      <c r="T2" s="219"/>
      <c r="U2" s="219"/>
      <c r="V2" s="219"/>
      <c r="W2" s="219"/>
      <c r="X2" s="219"/>
    </row>
    <row r="3" ht="1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</row>
    <row r="4" ht="15" customHeight="1">
      <c r="A4" t="s" s="218">
        <v>119</v>
      </c>
      <c r="B4" t="s" s="218">
        <v>227</v>
      </c>
      <c r="C4" t="s" s="218">
        <v>157</v>
      </c>
      <c r="D4" t="s" s="218">
        <v>8</v>
      </c>
      <c r="E4" t="s" s="218">
        <v>7</v>
      </c>
      <c r="F4" t="s" s="218">
        <v>6</v>
      </c>
      <c r="G4" s="219"/>
      <c r="H4" t="s" s="254">
        <v>228</v>
      </c>
      <c r="I4" t="s" s="218">
        <v>134</v>
      </c>
      <c r="J4" t="s" s="218">
        <v>169</v>
      </c>
      <c r="K4" t="s" s="218">
        <v>170</v>
      </c>
      <c r="L4" t="s" s="218">
        <v>229</v>
      </c>
      <c r="M4" t="s" s="218">
        <v>230</v>
      </c>
      <c r="N4" t="s" s="218">
        <v>231</v>
      </c>
      <c r="O4" t="s" s="218">
        <v>232</v>
      </c>
      <c r="P4" t="s" s="254">
        <v>233</v>
      </c>
      <c r="Q4" t="s" s="218">
        <v>136</v>
      </c>
      <c r="R4" t="s" s="218">
        <v>175</v>
      </c>
      <c r="S4" t="s" s="218">
        <v>176</v>
      </c>
      <c r="T4" t="s" s="218">
        <v>234</v>
      </c>
      <c r="U4" t="s" s="218">
        <v>235</v>
      </c>
      <c r="V4" t="s" s="218">
        <v>236</v>
      </c>
      <c r="W4" t="s" s="218">
        <v>237</v>
      </c>
      <c r="X4" s="276"/>
    </row>
    <row r="5" ht="15" customHeight="1">
      <c r="A5" s="236">
        <f>IF(SUM(X$5:X$10)=6,1,IF(COUNTIF(X$5:X5,X5)&gt;1,IF(COUNTIF(X$5:X5,X5)&gt;2,X5+2,X5+1),X5))</f>
        <v>1</v>
      </c>
      <c r="B5" t="s" s="218">
        <v>238</v>
      </c>
      <c r="C5" t="s" s="218">
        <f>VLOOKUP(3,'Gruppen'!A6:B9,2,FALSE)</f>
        <v>18</v>
      </c>
      <c r="D5" s="236">
        <f>VLOOKUP(3,'Gruppen'!A6:K9,11,FALSE)</f>
        <v>4</v>
      </c>
      <c r="E5" s="236">
        <f>VLOOKUP(3,'Gruppen'!A6:K9,10,FALSE)</f>
        <v>0</v>
      </c>
      <c r="F5" s="236">
        <f>VLOOKUP(3,'Gruppen'!A6:K9,7,FALSE)</f>
        <v>4</v>
      </c>
      <c r="G5" s="284"/>
      <c r="H5" s="257">
        <f>RANK(D5,D$5:D$10,0)</f>
        <v>1</v>
      </c>
      <c r="I5" s="278">
        <f>IF(H5=I$2,1,IF(H5=J$2,2,IF(H5=K$2,3,"")))</f>
        <v>1</v>
      </c>
      <c r="J5" s="236">
        <f>IF(I5=1,E5,"")</f>
        <v>0</v>
      </c>
      <c r="K5" t="s" s="218">
        <f>IF(I5=2,E5,"")</f>
      </c>
      <c r="L5" t="s" s="218">
        <f>IF(I5=3,E5,"")</f>
      </c>
      <c r="M5" s="236">
        <f>IF($I5=1,RANK(J5,J$5:J$10),0)</f>
        <v>1</v>
      </c>
      <c r="N5" s="236">
        <f>IF($I5=2,RANK(K5,K$5:K$10),0)</f>
        <v>0</v>
      </c>
      <c r="O5" s="259">
        <f>IF($I5=3,RANK(L5,L$5:L$10),0)</f>
        <v>0</v>
      </c>
      <c r="P5" s="257">
        <f>IF(I5&lt;&gt;"",H5+M5+N5+O5-1,H5)</f>
        <v>1</v>
      </c>
      <c r="Q5" s="278">
        <f>IF(P5=Q$2,1,IF(P5=R$2,2,IF(P5=S$2,3,"")))</f>
        <v>1</v>
      </c>
      <c r="R5" s="236">
        <f>IF(Q5=1,F5,"")</f>
        <v>4</v>
      </c>
      <c r="S5" t="s" s="218">
        <f>IF(Q5=2,F5,"")</f>
      </c>
      <c r="T5" t="s" s="218">
        <f>IF(Q5=3,F5,"")</f>
      </c>
      <c r="U5" s="236">
        <f>IF($Q5=1,RANK(R5,R$5:R$10),0)</f>
        <v>1</v>
      </c>
      <c r="V5" s="236">
        <f>IF($Q5=2,RANK(S5,S$5:S$10),0)</f>
        <v>0</v>
      </c>
      <c r="W5" s="259">
        <f>IF($Q5=3,RANK(T5,T$5:T$10),0)</f>
        <v>0</v>
      </c>
      <c r="X5" s="289">
        <f>IF(Q5&lt;&gt;"",P5+U5+V5+W5-1,P5)</f>
        <v>1</v>
      </c>
    </row>
    <row r="6" ht="15" customHeight="1">
      <c r="A6" s="236">
        <f>IF(SUM(X$5:X$10)=6,2,IF(COUNTIF(X$5:X6,X6)&gt;1,IF(COUNTIF(X$5:X6,X6)&gt;2,X6+2,X6+1),X6))</f>
        <v>4</v>
      </c>
      <c r="B6" t="s" s="218">
        <v>239</v>
      </c>
      <c r="C6" t="s" s="218">
        <f>VLOOKUP(3,'Gruppen'!A12:B15,2,FALSE)</f>
        <v>19</v>
      </c>
      <c r="D6" s="236">
        <f>VLOOKUP(3,'Gruppen'!A12:K15,11,FALSE)</f>
        <v>3</v>
      </c>
      <c r="E6" s="236">
        <f>VLOOKUP(3,'Gruppen'!A12:K15,10,FALSE)</f>
        <v>-3</v>
      </c>
      <c r="F6" s="236">
        <f>VLOOKUP(3,'Gruppen'!A12:K15,7,FALSE)</f>
        <v>3</v>
      </c>
      <c r="G6" s="284"/>
      <c r="H6" s="257">
        <f>RANK(D6,D$5:D$10,0)</f>
        <v>3</v>
      </c>
      <c r="I6" s="278">
        <f>IF(H6=I$2,1,IF(H6=J$2,2,IF(H6=K$2,3,"")))</f>
        <v>2</v>
      </c>
      <c r="J6" t="s" s="218">
        <f>IF(I6=1,E6,"")</f>
      </c>
      <c r="K6" s="236">
        <f>IF(I6=2,E6,"")</f>
        <v>-3</v>
      </c>
      <c r="L6" t="s" s="218">
        <f>IF(I6=3,E6,"")</f>
      </c>
      <c r="M6" s="236">
        <f>IF($I6=1,RANK(J6,J$5:J$10),0)</f>
        <v>0</v>
      </c>
      <c r="N6" s="236">
        <f>IF($I6=2,RANK(K6,K$5:K$10),0)</f>
        <v>2</v>
      </c>
      <c r="O6" s="259">
        <f>IF($I6=3,RANK(L6,L$5:L$10),0)</f>
        <v>0</v>
      </c>
      <c r="P6" s="257">
        <f>IF(I6&lt;&gt;"",H6+M6+N6+O6-1,H6)</f>
        <v>4</v>
      </c>
      <c r="Q6" s="278">
        <f>IF(P6=Q$2,1,IF(P6=R$2,2,IF(P6=S$2,3,"")))</f>
        <v>2</v>
      </c>
      <c r="R6" t="s" s="218">
        <f>IF(Q6=1,F6,"")</f>
      </c>
      <c r="S6" s="236">
        <f>IF(Q6=2,F6,"")</f>
        <v>3</v>
      </c>
      <c r="T6" t="s" s="218">
        <f>IF(Q6=3,F6,"")</f>
      </c>
      <c r="U6" s="236">
        <f>IF($Q6=1,RANK(R6,R$5:R$10),0)</f>
        <v>0</v>
      </c>
      <c r="V6" s="236">
        <f>IF($Q6=2,RANK(S6,S$5:S$10),0)</f>
        <v>1</v>
      </c>
      <c r="W6" s="259">
        <f>IF($Q6=3,RANK(T6,T$5:T$10),0)</f>
        <v>0</v>
      </c>
      <c r="X6" s="289">
        <f>IF(Q6&lt;&gt;"",P6+U6+V6+W6-1,P6)</f>
        <v>4</v>
      </c>
    </row>
    <row r="7" ht="15" customHeight="1">
      <c r="A7" s="236">
        <f>IF(SUM(X$5:X$10)=6,3,IF(COUNTIF(X$5:X7,X7)&gt;1,IF(COUNTIF(X$5:X7,X7)&gt;2,X7+2,X7+1),X7))</f>
        <v>5</v>
      </c>
      <c r="B7" t="s" s="218">
        <v>240</v>
      </c>
      <c r="C7" t="s" s="218">
        <f>VLOOKUP(3,'Gruppen'!A18:B21,2,FALSE)</f>
        <v>44</v>
      </c>
      <c r="D7" s="236">
        <f>VLOOKUP(3,'Gruppen'!A18:K21,11,FALSE)</f>
        <v>3</v>
      </c>
      <c r="E7" s="236">
        <f>VLOOKUP(3,'Gruppen'!A18:K21,10,FALSE)</f>
        <v>-3</v>
      </c>
      <c r="F7" s="236">
        <f>VLOOKUP(3,'Gruppen'!A18:K21,7,FALSE)</f>
        <v>3</v>
      </c>
      <c r="G7" s="284"/>
      <c r="H7" s="257">
        <f>RANK(D7,D$5:D$10,0)</f>
        <v>3</v>
      </c>
      <c r="I7" s="278">
        <f>IF(H7=I$2,1,IF(H7=J$2,2,IF(H7=K$2,3,"")))</f>
        <v>2</v>
      </c>
      <c r="J7" t="s" s="218">
        <f>IF(I7=1,E7,"")</f>
      </c>
      <c r="K7" s="236">
        <f>IF(I7=2,E7,"")</f>
        <v>-3</v>
      </c>
      <c r="L7" t="s" s="218">
        <f>IF(I7=3,E7,"")</f>
      </c>
      <c r="M7" s="236">
        <f>IF($I7=1,RANK(J7,J$5:J$10),0)</f>
        <v>0</v>
      </c>
      <c r="N7" s="236">
        <f>IF($I7=2,RANK(K7,K$5:K$10),0)</f>
        <v>2</v>
      </c>
      <c r="O7" s="259">
        <f>IF($I7=3,RANK(L7,L$5:L$10),0)</f>
        <v>0</v>
      </c>
      <c r="P7" s="257">
        <f>IF(I7&lt;&gt;"",H7+M7+N7+O7-1,H7)</f>
        <v>4</v>
      </c>
      <c r="Q7" s="278">
        <f>IF(P7=Q$2,1,IF(P7=R$2,2,IF(P7=S$2,3,"")))</f>
        <v>2</v>
      </c>
      <c r="R7" t="s" s="218">
        <f>IF(Q7=1,F7,"")</f>
      </c>
      <c r="S7" s="236">
        <f>IF(Q7=2,F7,"")</f>
        <v>3</v>
      </c>
      <c r="T7" t="s" s="218">
        <f>IF(Q7=3,F7,"")</f>
      </c>
      <c r="U7" s="236">
        <f>IF($Q7=1,RANK(R7,R$5:R$10),0)</f>
        <v>0</v>
      </c>
      <c r="V7" s="236">
        <f>IF($Q7=2,RANK(S7,S$5:S$10),0)</f>
        <v>1</v>
      </c>
      <c r="W7" s="259">
        <f>IF($Q7=3,RANK(T7,T$5:T$10),0)</f>
        <v>0</v>
      </c>
      <c r="X7" s="289">
        <f>IF(Q7&lt;&gt;"",P7+U7+V7+W7-1,P7)</f>
        <v>4</v>
      </c>
    </row>
    <row r="8" ht="15" customHeight="1">
      <c r="A8" s="236">
        <f>IF(SUM(X$5:X$10)=6,4,IF(COUNTIF(X$5:X8,X8)&gt;1,IF(COUNTIF(X$5:X8,X8)&gt;2,X8+2,X8+1),X8))</f>
        <v>2</v>
      </c>
      <c r="B8" t="s" s="218">
        <v>241</v>
      </c>
      <c r="C8" t="s" s="218">
        <f>VLOOKUP(3,'Gruppen'!A24:B27,2,FALSE)</f>
        <v>45</v>
      </c>
      <c r="D8" s="236">
        <f>VLOOKUP(3,'Gruppen'!A24:K27,11,FALSE)</f>
        <v>4</v>
      </c>
      <c r="E8" s="236">
        <f>VLOOKUP(3,'Gruppen'!A24:K27,10,FALSE)</f>
        <v>0</v>
      </c>
      <c r="F8" s="236">
        <f>VLOOKUP(3,'Gruppen'!A24:K27,7,FALSE)</f>
        <v>4</v>
      </c>
      <c r="G8" s="284"/>
      <c r="H8" s="257">
        <f>RANK(D8,D$5:D$10,0)</f>
        <v>1</v>
      </c>
      <c r="I8" s="278">
        <f>IF(H8=I$2,1,IF(H8=J$2,2,IF(H8=K$2,3,"")))</f>
        <v>1</v>
      </c>
      <c r="J8" s="236">
        <f>IF(I8=1,E8,"")</f>
        <v>0</v>
      </c>
      <c r="K8" t="s" s="218">
        <f>IF(I8=2,E8,"")</f>
      </c>
      <c r="L8" t="s" s="218">
        <f>IF(I8=3,E8,"")</f>
      </c>
      <c r="M8" s="236">
        <f>IF($I8=1,RANK(J8,J$5:J$10),0)</f>
        <v>1</v>
      </c>
      <c r="N8" s="236">
        <f>IF($I8=2,RANK(K8,K$5:K$10),0)</f>
        <v>0</v>
      </c>
      <c r="O8" s="259">
        <f>IF($I8=3,RANK(L8,L$5:L$10),0)</f>
        <v>0</v>
      </c>
      <c r="P8" s="257">
        <f>IF(I8&lt;&gt;"",H8+M8+N8+O8-1,H8)</f>
        <v>1</v>
      </c>
      <c r="Q8" s="278">
        <f>IF(P8=Q$2,1,IF(P8=R$2,2,IF(P8=S$2,3,"")))</f>
        <v>1</v>
      </c>
      <c r="R8" s="236">
        <f>IF(Q8=1,F8,"")</f>
        <v>4</v>
      </c>
      <c r="S8" t="s" s="218">
        <f>IF(Q8=2,F8,"")</f>
      </c>
      <c r="T8" t="s" s="218">
        <f>IF(Q8=3,F8,"")</f>
      </c>
      <c r="U8" s="236">
        <f>IF($Q8=1,RANK(R8,R$5:R$10),0)</f>
        <v>1</v>
      </c>
      <c r="V8" s="236">
        <f>IF($Q8=2,RANK(S8,S$5:S$10),0)</f>
        <v>0</v>
      </c>
      <c r="W8" s="259">
        <f>IF($Q8=3,RANK(T8,T$5:T$10),0)</f>
        <v>0</v>
      </c>
      <c r="X8" s="289">
        <f>IF(Q8&lt;&gt;"",P8+U8+V8+W8-1,P8)</f>
        <v>1</v>
      </c>
    </row>
    <row r="9" ht="15" customHeight="1">
      <c r="A9" s="236">
        <f>IF(SUM(X$5:X$10)=6,5,IF(COUNTIF(X$5:X9,X9)&gt;1,IF(COUNTIF(X$5:X9,X9)&gt;2,X9+2,X9+1),X9))</f>
        <v>3</v>
      </c>
      <c r="B9" t="s" s="218">
        <v>242</v>
      </c>
      <c r="C9" t="s" s="218">
        <f>VLOOKUP(3,'Gruppen'!A30:B33,2,FALSE)</f>
        <v>61</v>
      </c>
      <c r="D9" s="236">
        <f>VLOOKUP(3,'Gruppen'!A30:K33,11,FALSE)</f>
        <v>3</v>
      </c>
      <c r="E9" s="236">
        <f>VLOOKUP(3,'Gruppen'!A30:K33,10,FALSE)</f>
        <v>-1</v>
      </c>
      <c r="F9" s="236">
        <f>VLOOKUP(3,'Gruppen'!A30:K33,7,FALSE)</f>
        <v>3</v>
      </c>
      <c r="G9" s="284"/>
      <c r="H9" s="257">
        <f>RANK(D9,D$5:D$10,0)</f>
        <v>3</v>
      </c>
      <c r="I9" s="278">
        <f>IF(H9=I$2,1,IF(H9=J$2,2,IF(H9=K$2,3,"")))</f>
        <v>2</v>
      </c>
      <c r="J9" t="s" s="218">
        <f>IF(I9=1,E9,"")</f>
      </c>
      <c r="K9" s="236">
        <f>IF(I9=2,E9,"")</f>
        <v>-1</v>
      </c>
      <c r="L9" t="s" s="218">
        <f>IF(I9=3,E9,"")</f>
      </c>
      <c r="M9" s="236">
        <f>IF($I9=1,RANK(J9,J$5:J$10),0)</f>
        <v>0</v>
      </c>
      <c r="N9" s="236">
        <f>IF($I9=2,RANK(K9,K$5:K$10),0)</f>
        <v>1</v>
      </c>
      <c r="O9" s="259">
        <f>IF($I9=3,RANK(L9,L$5:L$10),0)</f>
        <v>0</v>
      </c>
      <c r="P9" s="257">
        <f>IF(I9&lt;&gt;"",H9+M9+N9+O9-1,H9)</f>
        <v>3</v>
      </c>
      <c r="Q9" t="s" s="258">
        <f>IF(P9=Q$2,1,IF(P9=R$2,2,IF(P9=S$2,3,"")))</f>
      </c>
      <c r="R9" t="s" s="218">
        <f>IF(Q9=1,F9,"")</f>
      </c>
      <c r="S9" t="s" s="218">
        <f>IF(Q9=2,F9,"")</f>
      </c>
      <c r="T9" t="s" s="218">
        <f>IF(Q9=3,F9,"")</f>
      </c>
      <c r="U9" s="236">
        <f>IF($Q9=1,RANK(R9,R$5:R$10),0)</f>
        <v>0</v>
      </c>
      <c r="V9" s="236">
        <f>IF($Q9=2,RANK(S9,S$5:S$10),0)</f>
        <v>0</v>
      </c>
      <c r="W9" s="259">
        <f>IF($Q9=3,RANK(T9,T$5:T$10),0)</f>
        <v>0</v>
      </c>
      <c r="X9" s="289">
        <f>IF(Q9&lt;&gt;"",P9+U9+V9+W9-1,P9)</f>
        <v>3</v>
      </c>
    </row>
    <row r="10" ht="15" customHeight="1">
      <c r="A10" s="236">
        <f>IF(SUM(X$5:X$10)=6,6,IF(COUNTIF(X$5:X10,X10)&gt;1,IF(COUNTIF(X$5:X10,X10)&gt;2,X10+2,X10+1),X10))</f>
        <v>6</v>
      </c>
      <c r="B10" t="s" s="218">
        <v>243</v>
      </c>
      <c r="C10" t="s" s="218">
        <f>VLOOKUP(3,'Gruppen'!A36:B39,2,FALSE)</f>
        <v>62</v>
      </c>
      <c r="D10" s="236">
        <f>VLOOKUP(3,'Gruppen'!A36:K39,11,FALSE)</f>
        <v>1</v>
      </c>
      <c r="E10" s="236">
        <f>VLOOKUP(3,'Gruppen'!A36:K39,10,FALSE)</f>
        <v>-3</v>
      </c>
      <c r="F10" s="236">
        <f>VLOOKUP(3,'Gruppen'!A36:K39,7,FALSE)</f>
        <v>4</v>
      </c>
      <c r="G10" s="284"/>
      <c r="H10" s="257">
        <f>RANK(D10,D$5:D$10,0)</f>
        <v>6</v>
      </c>
      <c r="I10" t="s" s="258">
        <f>IF(H10=I$2,1,IF(H10=J$2,2,IF(H10=K$2,3,"")))</f>
      </c>
      <c r="J10" t="s" s="218">
        <f>IF(I10=1,E10,"")</f>
      </c>
      <c r="K10" t="s" s="218">
        <f>IF(I10=2,E10,"")</f>
      </c>
      <c r="L10" t="s" s="218">
        <f>IF(I10=3,E10,"")</f>
      </c>
      <c r="M10" s="236">
        <f>IF($I10=1,RANK(J10,J$5:J$10),0)</f>
        <v>0</v>
      </c>
      <c r="N10" s="236">
        <f>IF($I10=2,RANK(K10,K$5:K$10),0)</f>
        <v>0</v>
      </c>
      <c r="O10" s="259">
        <f>IF($I10=3,RANK(L10,L$5:L$10),0)</f>
        <v>0</v>
      </c>
      <c r="P10" s="257">
        <f>IF(I10&lt;&gt;"",H10+M10+N10+O10-1,H10)</f>
        <v>6</v>
      </c>
      <c r="Q10" t="s" s="258">
        <f>IF(P10=Q$2,1,IF(P10=R$2,2,IF(P10=S$2,3,"")))</f>
      </c>
      <c r="R10" t="s" s="218">
        <f>IF(Q10=1,F10,"")</f>
      </c>
      <c r="S10" t="s" s="218">
        <f>IF(Q10=2,F10,"")</f>
      </c>
      <c r="T10" t="s" s="218">
        <f>IF(Q10=3,F10,"")</f>
      </c>
      <c r="U10" s="236">
        <f>IF($Q10=1,RANK(R10,R$5:R$10),0)</f>
        <v>0</v>
      </c>
      <c r="V10" s="236">
        <f>IF($Q10=2,RANK(S10,S$5:S$10),0)</f>
        <v>0</v>
      </c>
      <c r="W10" s="259">
        <f>IF($Q10=3,RANK(T10,T$5:T$10),0)</f>
        <v>0</v>
      </c>
      <c r="X10" s="289">
        <f>IF(Q10&lt;&gt;"",P10+U10+V10+W10-1,P10)</f>
        <v>6</v>
      </c>
    </row>
    <row r="11" ht="15" customHeight="1">
      <c r="A11" s="219"/>
      <c r="B11" s="219"/>
      <c r="C11" s="219"/>
      <c r="D11" s="219"/>
      <c r="E11" s="219"/>
      <c r="F11" s="219"/>
      <c r="G11" s="219"/>
      <c r="H11" s="264"/>
      <c r="I11" s="219"/>
      <c r="J11" s="219"/>
      <c r="K11" s="219"/>
      <c r="L11" s="219"/>
      <c r="M11" s="219"/>
      <c r="N11" s="219"/>
      <c r="O11" s="219"/>
      <c r="P11" s="264"/>
      <c r="Q11" s="219"/>
      <c r="R11" s="219"/>
      <c r="S11" s="219"/>
      <c r="T11" s="219"/>
      <c r="U11" s="219"/>
      <c r="V11" s="219"/>
      <c r="W11" s="219"/>
      <c r="X11" s="264"/>
    </row>
    <row r="12" ht="1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</row>
    <row r="13" ht="1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</row>
    <row r="14" ht="1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</row>
    <row r="15" ht="1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</row>
    <row r="16" ht="15" customHeight="1">
      <c r="A16" t="s" s="218">
        <v>244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</row>
    <row r="17" ht="13.5" customHeight="1">
      <c r="A17" s="219"/>
      <c r="B17" s="219"/>
      <c r="C17" s="219"/>
      <c r="D17" s="219"/>
      <c r="E17" s="276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</row>
    <row r="18" ht="15" customHeight="1">
      <c r="A18" s="290">
        <v>0</v>
      </c>
      <c r="B18" t="s" s="218">
        <f>VLOOKUP(1,$A$5:$C$10,2,FALSE)</f>
        <v>238</v>
      </c>
      <c r="C18" t="s" s="218">
        <f>VLOOKUP(0,$A$18:$B$21,2,FALSE)</f>
        <v>238</v>
      </c>
      <c r="D18" s="284"/>
      <c r="E18" t="s" s="291">
        <f>CONCATENATE(C18,C19,C20,C21)</f>
        <v>245</v>
      </c>
      <c r="F18" s="283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</row>
    <row r="19" ht="15" customHeight="1">
      <c r="A19" s="290">
        <v>1</v>
      </c>
      <c r="B19" t="s" s="218">
        <f>VLOOKUP(2,$A$5:$C$10,2,FALSE)</f>
        <v>241</v>
      </c>
      <c r="C19" t="s" s="218">
        <f>VLOOKUP(1,$A$18:$B$21,2,FALSE)</f>
        <v>241</v>
      </c>
      <c r="D19" s="219"/>
      <c r="E19" s="264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</row>
    <row r="20" ht="15" customHeight="1">
      <c r="A20" s="290">
        <v>2</v>
      </c>
      <c r="B20" t="s" s="218">
        <f>VLOOKUP(3,$A$5:$C$10,2,FALSE)</f>
        <v>242</v>
      </c>
      <c r="C20" t="s" s="218">
        <f>VLOOKUP(2,$A$18:$B$21,2,FALSE)</f>
        <v>242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</row>
    <row r="21" ht="15" customHeight="1">
      <c r="A21" s="290">
        <v>3</v>
      </c>
      <c r="B21" t="s" s="218">
        <f>VLOOKUP(4,$A$5:$C$10,2,FALSE)</f>
        <v>239</v>
      </c>
      <c r="C21" t="s" s="218">
        <f>VLOOKUP(3,$A$18:$B$21,2,FALSE)</f>
        <v>239</v>
      </c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9"/>
  <sheetViews>
    <sheetView workbookViewId="0" showGridLines="0" defaultGridColor="1"/>
  </sheetViews>
  <sheetFormatPr defaultColWidth="11.5" defaultRowHeight="15" customHeight="1" outlineLevelRow="0" outlineLevelCol="0"/>
  <cols>
    <col min="1" max="1" width="14.3516" style="292" customWidth="1"/>
    <col min="2" max="2" width="11.5" style="292" customWidth="1"/>
    <col min="3" max="3" width="11.5" style="292" customWidth="1"/>
    <col min="4" max="4" width="11.5" style="292" customWidth="1"/>
    <col min="5" max="5" width="11.5" style="292" customWidth="1"/>
    <col min="6" max="256" width="11.5" style="292" customWidth="1"/>
  </cols>
  <sheetData>
    <row r="1" ht="15" customHeight="1">
      <c r="A1" s="219"/>
      <c r="B1" s="219"/>
      <c r="C1" s="219"/>
      <c r="D1" s="219"/>
      <c r="E1" s="219"/>
    </row>
    <row r="2" ht="15" customHeight="1">
      <c r="A2" t="s" s="218">
        <v>246</v>
      </c>
      <c r="B2" s="219"/>
      <c r="C2" s="219"/>
      <c r="D2" s="219"/>
      <c r="E2" s="219"/>
    </row>
    <row r="3" ht="15" customHeight="1">
      <c r="A3" s="219"/>
      <c r="B3" s="219"/>
      <c r="C3" s="219"/>
      <c r="D3" s="219"/>
      <c r="E3" s="219"/>
    </row>
    <row r="4" ht="15" customHeight="1">
      <c r="A4" t="s" s="218">
        <v>247</v>
      </c>
      <c r="B4" t="s" s="218">
        <v>158</v>
      </c>
      <c r="C4" t="s" s="218">
        <v>159</v>
      </c>
      <c r="D4" t="s" s="218">
        <v>160</v>
      </c>
      <c r="E4" t="s" s="218">
        <v>248</v>
      </c>
    </row>
    <row r="5" ht="15" customHeight="1">
      <c r="A5" t="s" s="218">
        <v>249</v>
      </c>
      <c r="B5" t="s" s="218">
        <f>VLOOKUP("B",'Dritte'!B5:C10,2,FALSE)</f>
        <v>19</v>
      </c>
      <c r="C5" t="s" s="218">
        <f>VLOOKUP("D",'Dritte'!B5:C10,2,FALSE)</f>
        <v>45</v>
      </c>
      <c r="D5" t="s" s="218">
        <f>VLOOKUP("a",'Dritte'!B5:C10,2,FALSE)</f>
        <v>18</v>
      </c>
      <c r="E5" t="s" s="218">
        <f>VLOOKUP("c",'Dritte'!B5:C10,2,FALSE)</f>
        <v>44</v>
      </c>
    </row>
    <row r="6" ht="15" customHeight="1">
      <c r="A6" t="s" s="218">
        <v>250</v>
      </c>
      <c r="B6" t="s" s="218">
        <f>VLOOKUP("E",'Dritte'!B5:C10,2,FALSE)</f>
        <v>61</v>
      </c>
      <c r="C6" t="s" s="218">
        <f>VLOOKUP("a",'Dritte'!B5:C10,2,FALSE)</f>
        <v>18</v>
      </c>
      <c r="D6" t="s" s="218">
        <f>VLOOKUP("b",'Dritte'!B5:C10,2,FALSE)</f>
        <v>19</v>
      </c>
      <c r="E6" t="s" s="218">
        <f>VLOOKUP("c",'Dritte'!B5:C10,2,FALSE)</f>
        <v>44</v>
      </c>
    </row>
    <row r="7" ht="15" customHeight="1">
      <c r="A7" t="s" s="218">
        <v>251</v>
      </c>
      <c r="B7" t="s" s="218">
        <f>VLOOKUP("F",'Dritte'!B5:C10,2,FALSE)</f>
        <v>62</v>
      </c>
      <c r="C7" t="s" s="218">
        <f>VLOOKUP("a",'Dritte'!B5:C10,2,FALSE)</f>
        <v>18</v>
      </c>
      <c r="D7" t="s" s="218">
        <f>VLOOKUP("b",'Dritte'!B5:C10,2,FALSE)</f>
        <v>19</v>
      </c>
      <c r="E7" t="s" s="218">
        <f>VLOOKUP("c",'Dritte'!B5:C10,2,FALSE)</f>
        <v>44</v>
      </c>
    </row>
    <row r="8" ht="15" customHeight="1">
      <c r="A8" t="s" s="218">
        <v>252</v>
      </c>
      <c r="B8" t="s" s="218">
        <f>VLOOKUP("E",'Dritte'!B5:C10,2,FALSE)</f>
        <v>61</v>
      </c>
      <c r="C8" t="s" s="218">
        <f>VLOOKUP("a",'Dritte'!B5:C10,2,FALSE)</f>
        <v>18</v>
      </c>
      <c r="D8" t="s" s="218">
        <f>VLOOKUP("b",'Dritte'!B5:C10,2,FALSE)</f>
        <v>19</v>
      </c>
      <c r="E8" t="s" s="218">
        <f>VLOOKUP("D",'Dritte'!B5:C10,2,FALSE)</f>
        <v>45</v>
      </c>
    </row>
    <row r="9" ht="15" customHeight="1">
      <c r="A9" t="s" s="218">
        <v>253</v>
      </c>
      <c r="B9" t="s" s="218">
        <f>VLOOKUP("f",'Dritte'!B5:C10,2,FALSE)</f>
        <v>62</v>
      </c>
      <c r="C9" t="s" s="218">
        <f>VLOOKUP("a",'Dritte'!B5:C10,2,FALSE)</f>
        <v>18</v>
      </c>
      <c r="D9" t="s" s="218">
        <f>VLOOKUP("b",'Dritte'!B5:C10,2,FALSE)</f>
        <v>19</v>
      </c>
      <c r="E9" t="s" s="218">
        <f>VLOOKUP("D",'Dritte'!B5:C10,2,FALSE)</f>
        <v>45</v>
      </c>
    </row>
    <row r="10" ht="15" customHeight="1">
      <c r="A10" t="s" s="218">
        <v>254</v>
      </c>
      <c r="B10" t="s" s="218">
        <f>VLOOKUP("f",'Dritte'!B5:C10,2,FALSE)</f>
        <v>62</v>
      </c>
      <c r="C10" t="s" s="218">
        <f>VLOOKUP("a",'Dritte'!B5:C10,2,FALSE)</f>
        <v>18</v>
      </c>
      <c r="D10" t="s" s="218">
        <f>VLOOKUP("b",'Dritte'!B5:C10,2,FALSE)</f>
        <v>19</v>
      </c>
      <c r="E10" t="s" s="218">
        <f>VLOOKUP("e",'Dritte'!B5:C10,2,FALSE)</f>
        <v>61</v>
      </c>
    </row>
    <row r="11" ht="15" customHeight="1">
      <c r="A11" t="s" s="218">
        <v>255</v>
      </c>
      <c r="B11" t="s" s="218">
        <f>VLOOKUP("e",'Dritte'!B5:C10,2,FALSE)</f>
        <v>61</v>
      </c>
      <c r="C11" t="s" s="218">
        <f>VLOOKUP("D",'Dritte'!B5:C10,2,FALSE)</f>
        <v>45</v>
      </c>
      <c r="D11" t="s" s="218">
        <f>VLOOKUP("a",'Dritte'!B5:C10,2,FALSE)</f>
        <v>18</v>
      </c>
      <c r="E11" t="s" s="218">
        <f>VLOOKUP("c",'Dritte'!B5:C10,2,FALSE)</f>
        <v>44</v>
      </c>
    </row>
    <row r="12" ht="15" customHeight="1">
      <c r="A12" t="s" s="218">
        <v>256</v>
      </c>
      <c r="B12" t="s" s="218">
        <f>VLOOKUP("f",'Dritte'!B5:C10,2,FALSE)</f>
        <v>62</v>
      </c>
      <c r="C12" t="s" s="218">
        <f>VLOOKUP("D",'Dritte'!B5:C10,2,FALSE)</f>
        <v>45</v>
      </c>
      <c r="D12" t="s" s="218">
        <f>VLOOKUP("a",'Dritte'!B5:C10,2,FALSE)</f>
        <v>18</v>
      </c>
      <c r="E12" t="s" s="218">
        <f>VLOOKUP("c",'Dritte'!B5:C10,2,FALSE)</f>
        <v>44</v>
      </c>
    </row>
    <row r="13" ht="15" customHeight="1">
      <c r="A13" t="s" s="218">
        <v>257</v>
      </c>
      <c r="B13" t="s" s="218">
        <f>VLOOKUP("e",'Dritte'!B5:C10,2,FALSE)</f>
        <v>61</v>
      </c>
      <c r="C13" t="s" s="218">
        <f>VLOOKUP("a",'Dritte'!B5:C10,2,FALSE)</f>
        <v>18</v>
      </c>
      <c r="D13" t="s" s="218">
        <f>VLOOKUP("f",'Dritte'!B5:C10,2,FALSE)</f>
        <v>62</v>
      </c>
      <c r="E13" t="s" s="218">
        <f>VLOOKUP("c",'Dritte'!B5:C10,2,FALSE)</f>
        <v>44</v>
      </c>
    </row>
    <row r="14" ht="15" customHeight="1">
      <c r="A14" t="s" s="218">
        <v>258</v>
      </c>
      <c r="B14" t="s" s="218">
        <f>VLOOKUP("e",'Dritte'!B5:C10,2,FALSE)</f>
        <v>61</v>
      </c>
      <c r="C14" t="s" s="218">
        <f>VLOOKUP("a",'Dritte'!B5:C10,2,FALSE)</f>
        <v>18</v>
      </c>
      <c r="D14" t="s" s="218">
        <f>VLOOKUP("f",'Dritte'!B5:C10,2,FALSE)</f>
        <v>62</v>
      </c>
      <c r="E14" t="s" s="218">
        <f>VLOOKUP("D",'Dritte'!B5:C10,2,FALSE)</f>
        <v>45</v>
      </c>
    </row>
    <row r="15" ht="15" customHeight="1">
      <c r="A15" t="s" s="218">
        <v>259</v>
      </c>
      <c r="B15" t="s" s="218">
        <f>VLOOKUP("e",'Dritte'!B5:C10,2,FALSE)</f>
        <v>61</v>
      </c>
      <c r="C15" t="s" s="218">
        <f>VLOOKUP("D",'Dritte'!B5:C10,2,FALSE)</f>
        <v>45</v>
      </c>
      <c r="D15" t="s" s="218">
        <f>VLOOKUP("b",'Dritte'!B5:C10,2,FALSE)</f>
        <v>19</v>
      </c>
      <c r="E15" t="s" s="218">
        <f>VLOOKUP("c",'Dritte'!B5:C10,2,FALSE)</f>
        <v>44</v>
      </c>
    </row>
    <row r="16" ht="15" customHeight="1">
      <c r="A16" t="s" s="218">
        <v>260</v>
      </c>
      <c r="B16" t="s" s="218">
        <f>VLOOKUP("f",'Dritte'!B5:C10,2,FALSE)</f>
        <v>62</v>
      </c>
      <c r="C16" t="s" s="218">
        <f>VLOOKUP("D",'Dritte'!B5:C10,2,FALSE)</f>
        <v>45</v>
      </c>
      <c r="D16" t="s" s="218">
        <f>VLOOKUP("b",'Dritte'!B5:C10,2,FALSE)</f>
        <v>19</v>
      </c>
      <c r="E16" t="s" s="218">
        <f>VLOOKUP("c",'Dritte'!B5:C10,2,FALSE)</f>
        <v>44</v>
      </c>
    </row>
    <row r="17" ht="15" customHeight="1">
      <c r="A17" t="s" s="218">
        <v>261</v>
      </c>
      <c r="B17" t="s" s="218">
        <f>VLOOKUP("f",'Dritte'!B5:C10,2,FALSE)</f>
        <v>62</v>
      </c>
      <c r="C17" t="s" s="218">
        <f>VLOOKUP("c",'Dritte'!B5:C10,2,FALSE)</f>
        <v>44</v>
      </c>
      <c r="D17" t="s" s="218">
        <f>VLOOKUP("b",'Dritte'!B5:C10,2,FALSE)</f>
        <v>19</v>
      </c>
      <c r="E17" t="s" s="218">
        <f>VLOOKUP("e",'Dritte'!B5:C10,2,FALSE)</f>
        <v>61</v>
      </c>
    </row>
    <row r="18" ht="15" customHeight="1">
      <c r="A18" t="s" s="218">
        <v>262</v>
      </c>
      <c r="B18" t="s" s="218">
        <f>VLOOKUP("f",'Dritte'!B5:C10,2,FALSE)</f>
        <v>62</v>
      </c>
      <c r="C18" t="s" s="218">
        <f>VLOOKUP("D",'Dritte'!B5:C10,2,FALSE)</f>
        <v>45</v>
      </c>
      <c r="D18" t="s" s="218">
        <f>VLOOKUP("b",'Dritte'!B5:C10,2,FALSE)</f>
        <v>19</v>
      </c>
      <c r="E18" t="s" s="218">
        <f>VLOOKUP("e",'Dritte'!B5:C10,2,FALSE)</f>
        <v>61</v>
      </c>
    </row>
    <row r="19" ht="15" customHeight="1">
      <c r="A19" t="s" s="218">
        <v>263</v>
      </c>
      <c r="B19" t="s" s="218">
        <f>VLOOKUP("E",'Dritte'!B5:C10,2,FALSE)</f>
        <v>61</v>
      </c>
      <c r="C19" t="s" s="218">
        <f>VLOOKUP("D",'Dritte'!B5:C10,2,FALSE)</f>
        <v>45</v>
      </c>
      <c r="D19" t="s" s="218">
        <f>VLOOKUP("F",'Dritte'!B5:C10,2,FALSE)</f>
        <v>62</v>
      </c>
      <c r="E19" t="s" s="218">
        <f>VLOOKUP("C",'Dritte'!B5:C10,2,FALSE)</f>
        <v>44</v>
      </c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