
<file path=[Content_Types].xml><?xml version="1.0" encoding="utf-8"?>
<Types xmlns="http://schemas.openxmlformats.org/package/2006/content-types">
  <Default Extension="xml" ContentType="application/xml"/>
  <Default Extension="bin" ContentType="application/vnd.openxmlformats-officedocument.spreadsheetml.printerSettings"/>
  <Default Extension="png" ContentType="image/png"/>
  <Default Extension="gif" ContentType="image/gif"/>
  <Default Extension="jpg" ContentType="image/jpe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217"/>
  <workbookPr/>
  <mc:AlternateContent xmlns:mc="http://schemas.openxmlformats.org/markup-compatibility/2006">
    <mc:Choice Requires="x15">
      <x15ac:absPath xmlns:x15ac="http://schemas.microsoft.com/office/spreadsheetml/2010/11/ac" url="/Users/klaus/Desktop/Sonstiges zum Löschen/"/>
    </mc:Choice>
  </mc:AlternateContent>
  <bookViews>
    <workbookView xWindow="0" yWindow="460" windowWidth="25780" windowHeight="16060"/>
  </bookViews>
  <sheets>
    <sheet name="Tabelle" sheetId="1" r:id="rId1"/>
    <sheet name="Gruppen" sheetId="2" state="hidden" r:id="rId2"/>
    <sheet name="Ränge1" sheetId="3" state="hidden" r:id="rId3"/>
    <sheet name="Ränge2" sheetId="4" state="hidden" r:id="rId4"/>
    <sheet name="Dritte" sheetId="5" state="hidden" r:id="rId5"/>
    <sheet name="Dritte2" sheetId="6" state="hidden" r:id="rId6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4" i="4" l="1"/>
  <c r="C4" i="4"/>
  <c r="D4" i="4"/>
  <c r="D6" i="2"/>
  <c r="E4" i="4"/>
  <c r="F4" i="4"/>
  <c r="G4" i="4"/>
  <c r="E6" i="2"/>
  <c r="K6" i="2"/>
  <c r="B5" i="4"/>
  <c r="C5" i="4"/>
  <c r="D5" i="4"/>
  <c r="D7" i="2"/>
  <c r="E5" i="4"/>
  <c r="F5" i="4"/>
  <c r="G5" i="4"/>
  <c r="E7" i="2"/>
  <c r="K7" i="2"/>
  <c r="B6" i="4"/>
  <c r="C6" i="4"/>
  <c r="D6" i="4"/>
  <c r="D8" i="2"/>
  <c r="E6" i="4"/>
  <c r="F6" i="4"/>
  <c r="G6" i="4"/>
  <c r="E8" i="2"/>
  <c r="K8" i="2"/>
  <c r="B7" i="4"/>
  <c r="C7" i="4"/>
  <c r="D7" i="4"/>
  <c r="D9" i="2"/>
  <c r="E7" i="4"/>
  <c r="F7" i="4"/>
  <c r="G7" i="4"/>
  <c r="E9" i="2"/>
  <c r="K9" i="2"/>
  <c r="J4" i="4"/>
  <c r="J5" i="4"/>
  <c r="J6" i="4"/>
  <c r="J7" i="4"/>
  <c r="K4" i="4"/>
  <c r="G6" i="2"/>
  <c r="I6" i="2"/>
  <c r="J6" i="2"/>
  <c r="M4" i="3"/>
  <c r="L4" i="4"/>
  <c r="K5" i="4"/>
  <c r="G7" i="2"/>
  <c r="I7" i="2"/>
  <c r="J7" i="2"/>
  <c r="M5" i="3"/>
  <c r="L5" i="4"/>
  <c r="K6" i="4"/>
  <c r="G8" i="2"/>
  <c r="I8" i="2"/>
  <c r="J8" i="2"/>
  <c r="M6" i="3"/>
  <c r="L6" i="4"/>
  <c r="K7" i="4"/>
  <c r="G9" i="2"/>
  <c r="I9" i="2"/>
  <c r="J9" i="2"/>
  <c r="M7" i="3"/>
  <c r="L7" i="4"/>
  <c r="N4" i="4"/>
  <c r="O4" i="4"/>
  <c r="P4" i="4"/>
  <c r="N5" i="4"/>
  <c r="M5" i="4"/>
  <c r="M4" i="4"/>
  <c r="M6" i="4"/>
  <c r="M7" i="4"/>
  <c r="O5" i="4"/>
  <c r="P5" i="4"/>
  <c r="N6" i="4"/>
  <c r="O6" i="4"/>
  <c r="P6" i="4"/>
  <c r="N7" i="4"/>
  <c r="O7" i="4"/>
  <c r="P7" i="4"/>
  <c r="Q4" i="4"/>
  <c r="N4" i="3"/>
  <c r="R4" i="4"/>
  <c r="Q5" i="4"/>
  <c r="N5" i="3"/>
  <c r="R5" i="4"/>
  <c r="Q6" i="4"/>
  <c r="N6" i="3"/>
  <c r="R6" i="4"/>
  <c r="Q7" i="4"/>
  <c r="N7" i="3"/>
  <c r="R7" i="4"/>
  <c r="T4" i="4"/>
  <c r="U4" i="4"/>
  <c r="V4" i="4"/>
  <c r="T5" i="4"/>
  <c r="S5" i="4"/>
  <c r="S4" i="4"/>
  <c r="S6" i="4"/>
  <c r="S7" i="4"/>
  <c r="U5" i="4"/>
  <c r="V5" i="4"/>
  <c r="T6" i="4"/>
  <c r="U6" i="4"/>
  <c r="V6" i="4"/>
  <c r="T7" i="4"/>
  <c r="U7" i="4"/>
  <c r="V7" i="4"/>
  <c r="W4" i="4"/>
  <c r="D4" i="3"/>
  <c r="E4" i="3"/>
  <c r="D6" i="3"/>
  <c r="E6" i="3"/>
  <c r="D8" i="3"/>
  <c r="E8" i="3"/>
  <c r="O4" i="3"/>
  <c r="X4" i="4"/>
  <c r="W5" i="4"/>
  <c r="D7" i="3"/>
  <c r="E7" i="3"/>
  <c r="D9" i="3"/>
  <c r="E9" i="3"/>
  <c r="O5" i="3"/>
  <c r="X5" i="4"/>
  <c r="W6" i="4"/>
  <c r="D5" i="3"/>
  <c r="E5" i="3"/>
  <c r="O6" i="3"/>
  <c r="X6" i="4"/>
  <c r="W7" i="4"/>
  <c r="O7" i="3"/>
  <c r="X7" i="4"/>
  <c r="Z4" i="4"/>
  <c r="AA4" i="4"/>
  <c r="AB4" i="4"/>
  <c r="Z5" i="4"/>
  <c r="Y5" i="4"/>
  <c r="Y4" i="4"/>
  <c r="Y6" i="4"/>
  <c r="Y7" i="4"/>
  <c r="AA5" i="4"/>
  <c r="AB5" i="4"/>
  <c r="Z6" i="4"/>
  <c r="AA6" i="4"/>
  <c r="AB6" i="4"/>
  <c r="Z7" i="4"/>
  <c r="AA7" i="4"/>
  <c r="AB7" i="4"/>
  <c r="AC4" i="4"/>
  <c r="F4" i="3"/>
  <c r="G4" i="3"/>
  <c r="F6" i="3"/>
  <c r="G6" i="3"/>
  <c r="F8" i="3"/>
  <c r="G8" i="3"/>
  <c r="P4" i="3"/>
  <c r="AD4" i="4"/>
  <c r="AC5" i="4"/>
  <c r="F7" i="3"/>
  <c r="G7" i="3"/>
  <c r="F9" i="3"/>
  <c r="G9" i="3"/>
  <c r="P5" i="3"/>
  <c r="AD5" i="4"/>
  <c r="AC6" i="4"/>
  <c r="F5" i="3"/>
  <c r="G5" i="3"/>
  <c r="P6" i="3"/>
  <c r="AD6" i="4"/>
  <c r="AC7" i="4"/>
  <c r="P7" i="3"/>
  <c r="AD7" i="4"/>
  <c r="AF4" i="4"/>
  <c r="AG4" i="4"/>
  <c r="AH4" i="4"/>
  <c r="AF5" i="4"/>
  <c r="AE5" i="4"/>
  <c r="AE4" i="4"/>
  <c r="AE6" i="4"/>
  <c r="AE7" i="4"/>
  <c r="AG5" i="4"/>
  <c r="AH5" i="4"/>
  <c r="AF6" i="4"/>
  <c r="AG6" i="4"/>
  <c r="AH6" i="4"/>
  <c r="AF7" i="4"/>
  <c r="AG7" i="4"/>
  <c r="AH7" i="4"/>
  <c r="AI4" i="4"/>
  <c r="H4" i="3"/>
  <c r="I4" i="3"/>
  <c r="H6" i="3"/>
  <c r="I6" i="3"/>
  <c r="H8" i="3"/>
  <c r="J8" i="3"/>
  <c r="Q4" i="3"/>
  <c r="AJ4" i="4"/>
  <c r="AI5" i="4"/>
  <c r="J4" i="3"/>
  <c r="H7" i="3"/>
  <c r="J7" i="3"/>
  <c r="H9" i="3"/>
  <c r="I9" i="3"/>
  <c r="Q5" i="3"/>
  <c r="AJ5" i="4"/>
  <c r="AI6" i="4"/>
  <c r="H5" i="3"/>
  <c r="I5" i="3"/>
  <c r="J6" i="3"/>
  <c r="J9" i="3"/>
  <c r="Q6" i="3"/>
  <c r="AJ6" i="4"/>
  <c r="AI7" i="4"/>
  <c r="J5" i="3"/>
  <c r="I7" i="3"/>
  <c r="I8" i="3"/>
  <c r="Q7" i="3"/>
  <c r="AJ7" i="4"/>
  <c r="AL4" i="4"/>
  <c r="AM4" i="4"/>
  <c r="AN4" i="4"/>
  <c r="AO4" i="4"/>
  <c r="L6" i="2"/>
  <c r="AL5" i="4"/>
  <c r="AK5" i="4"/>
  <c r="AK4" i="4"/>
  <c r="AK6" i="4"/>
  <c r="AK7" i="4"/>
  <c r="AM5" i="4"/>
  <c r="AN5" i="4"/>
  <c r="AO5" i="4"/>
  <c r="L7" i="2"/>
  <c r="AL6" i="4"/>
  <c r="AM6" i="4"/>
  <c r="AN6" i="4"/>
  <c r="AO6" i="4"/>
  <c r="L8" i="2"/>
  <c r="AL7" i="4"/>
  <c r="AM7" i="4"/>
  <c r="AN7" i="4"/>
  <c r="AO7" i="4"/>
  <c r="L9" i="2"/>
  <c r="M9" i="2"/>
  <c r="N9" i="2"/>
  <c r="O9" i="2"/>
  <c r="A9" i="2"/>
  <c r="M8" i="2"/>
  <c r="N8" i="2"/>
  <c r="O8" i="2"/>
  <c r="A8" i="2"/>
  <c r="M7" i="2"/>
  <c r="N7" i="2"/>
  <c r="O7" i="2"/>
  <c r="A7" i="2"/>
  <c r="C37" i="4"/>
  <c r="F37" i="4"/>
  <c r="C35" i="4"/>
  <c r="F35" i="4"/>
  <c r="E46" i="3"/>
  <c r="B36" i="4"/>
  <c r="E36" i="4"/>
  <c r="B37" i="4"/>
  <c r="E37" i="4"/>
  <c r="E45" i="3"/>
  <c r="B34" i="4"/>
  <c r="E34" i="4"/>
  <c r="B35" i="4"/>
  <c r="E35" i="4"/>
  <c r="E44" i="3"/>
  <c r="C36" i="4"/>
  <c r="D36" i="4"/>
  <c r="D38" i="2"/>
  <c r="F36" i="4"/>
  <c r="G36" i="4"/>
  <c r="E38" i="2"/>
  <c r="K38" i="2"/>
  <c r="C34" i="4"/>
  <c r="D34" i="4"/>
  <c r="D36" i="2"/>
  <c r="F34" i="4"/>
  <c r="G34" i="4"/>
  <c r="E36" i="2"/>
  <c r="K36" i="2"/>
  <c r="D35" i="4"/>
  <c r="D37" i="2"/>
  <c r="G35" i="4"/>
  <c r="E37" i="2"/>
  <c r="K37" i="2"/>
  <c r="D37" i="4"/>
  <c r="D39" i="2"/>
  <c r="G37" i="4"/>
  <c r="E39" i="2"/>
  <c r="K39" i="2"/>
  <c r="J36" i="4"/>
  <c r="J34" i="4"/>
  <c r="J35" i="4"/>
  <c r="J37" i="4"/>
  <c r="K34" i="4"/>
  <c r="K36" i="4"/>
  <c r="G38" i="2"/>
  <c r="I38" i="2"/>
  <c r="J38" i="2"/>
  <c r="M36" i="3"/>
  <c r="L36" i="4"/>
  <c r="G36" i="2"/>
  <c r="I36" i="2"/>
  <c r="J36" i="2"/>
  <c r="M34" i="3"/>
  <c r="L34" i="4"/>
  <c r="K35" i="4"/>
  <c r="G37" i="2"/>
  <c r="I37" i="2"/>
  <c r="J37" i="2"/>
  <c r="M35" i="3"/>
  <c r="L35" i="4"/>
  <c r="K37" i="4"/>
  <c r="G39" i="2"/>
  <c r="I39" i="2"/>
  <c r="J39" i="2"/>
  <c r="M37" i="3"/>
  <c r="L37" i="4"/>
  <c r="N36" i="4"/>
  <c r="M36" i="4"/>
  <c r="M34" i="4"/>
  <c r="M35" i="4"/>
  <c r="M37" i="4"/>
  <c r="O36" i="4"/>
  <c r="P36" i="4"/>
  <c r="N34" i="4"/>
  <c r="O34" i="4"/>
  <c r="P34" i="4"/>
  <c r="N35" i="4"/>
  <c r="O35" i="4"/>
  <c r="P35" i="4"/>
  <c r="N37" i="4"/>
  <c r="O37" i="4"/>
  <c r="P37" i="4"/>
  <c r="Q34" i="4"/>
  <c r="Q36" i="4"/>
  <c r="N36" i="3"/>
  <c r="R36" i="4"/>
  <c r="N34" i="3"/>
  <c r="R34" i="4"/>
  <c r="Q35" i="4"/>
  <c r="N35" i="3"/>
  <c r="R35" i="4"/>
  <c r="Q37" i="4"/>
  <c r="N37" i="3"/>
  <c r="R37" i="4"/>
  <c r="T36" i="4"/>
  <c r="U36" i="4"/>
  <c r="V36" i="4"/>
  <c r="T37" i="4"/>
  <c r="S37" i="4"/>
  <c r="S34" i="4"/>
  <c r="S35" i="4"/>
  <c r="S36" i="4"/>
  <c r="U37" i="4"/>
  <c r="V37" i="4"/>
  <c r="D45" i="3"/>
  <c r="T34" i="4"/>
  <c r="U34" i="4"/>
  <c r="V34" i="4"/>
  <c r="D47" i="3"/>
  <c r="E47" i="3"/>
  <c r="T35" i="4"/>
  <c r="U35" i="4"/>
  <c r="V35" i="4"/>
  <c r="D49" i="3"/>
  <c r="E49" i="3"/>
  <c r="O36" i="3"/>
  <c r="D44" i="3"/>
  <c r="D48" i="3"/>
  <c r="E48" i="3"/>
  <c r="O34" i="3"/>
  <c r="B17" i="4"/>
  <c r="C17" i="4"/>
  <c r="D17" i="4"/>
  <c r="D19" i="2"/>
  <c r="E17" i="4"/>
  <c r="F17" i="4"/>
  <c r="G17" i="4"/>
  <c r="E19" i="2"/>
  <c r="K19" i="2"/>
  <c r="B16" i="4"/>
  <c r="C16" i="4"/>
  <c r="D16" i="4"/>
  <c r="D18" i="2"/>
  <c r="E16" i="4"/>
  <c r="F16" i="4"/>
  <c r="G16" i="4"/>
  <c r="E18" i="2"/>
  <c r="K18" i="2"/>
  <c r="B18" i="4"/>
  <c r="C18" i="4"/>
  <c r="D18" i="4"/>
  <c r="D20" i="2"/>
  <c r="E18" i="4"/>
  <c r="F18" i="4"/>
  <c r="G18" i="4"/>
  <c r="E20" i="2"/>
  <c r="K20" i="2"/>
  <c r="B19" i="4"/>
  <c r="C19" i="4"/>
  <c r="D19" i="4"/>
  <c r="D21" i="2"/>
  <c r="E19" i="4"/>
  <c r="F19" i="4"/>
  <c r="G19" i="4"/>
  <c r="E21" i="2"/>
  <c r="K21" i="2"/>
  <c r="J17" i="4"/>
  <c r="J16" i="4"/>
  <c r="J18" i="4"/>
  <c r="J19" i="4"/>
  <c r="K16" i="4"/>
  <c r="K17" i="4"/>
  <c r="I19" i="2"/>
  <c r="G19" i="2"/>
  <c r="J19" i="2"/>
  <c r="M17" i="3"/>
  <c r="L17" i="4"/>
  <c r="G18" i="2"/>
  <c r="I18" i="2"/>
  <c r="J18" i="2"/>
  <c r="M16" i="3"/>
  <c r="L16" i="4"/>
  <c r="K18" i="4"/>
  <c r="G20" i="2"/>
  <c r="I20" i="2"/>
  <c r="J20" i="2"/>
  <c r="M18" i="3"/>
  <c r="L18" i="4"/>
  <c r="K19" i="4"/>
  <c r="I21" i="2"/>
  <c r="G21" i="2"/>
  <c r="J21" i="2"/>
  <c r="M19" i="3"/>
  <c r="L19" i="4"/>
  <c r="N17" i="4"/>
  <c r="M17" i="4"/>
  <c r="M16" i="4"/>
  <c r="M18" i="4"/>
  <c r="M19" i="4"/>
  <c r="O17" i="4"/>
  <c r="P17" i="4"/>
  <c r="N16" i="4"/>
  <c r="O16" i="4"/>
  <c r="P16" i="4"/>
  <c r="N18" i="4"/>
  <c r="O18" i="4"/>
  <c r="P18" i="4"/>
  <c r="N19" i="4"/>
  <c r="O19" i="4"/>
  <c r="P19" i="4"/>
  <c r="Q16" i="4"/>
  <c r="Q17" i="4"/>
  <c r="N17" i="3"/>
  <c r="R17" i="4"/>
  <c r="N16" i="3"/>
  <c r="R16" i="4"/>
  <c r="Q18" i="4"/>
  <c r="N18" i="3"/>
  <c r="R18" i="4"/>
  <c r="Q19" i="4"/>
  <c r="N19" i="3"/>
  <c r="R19" i="4"/>
  <c r="T17" i="4"/>
  <c r="S17" i="4"/>
  <c r="S16" i="4"/>
  <c r="S18" i="4"/>
  <c r="S19" i="4"/>
  <c r="U17" i="4"/>
  <c r="V17" i="4"/>
  <c r="T16" i="4"/>
  <c r="U16" i="4"/>
  <c r="V16" i="4"/>
  <c r="T18" i="4"/>
  <c r="U18" i="4"/>
  <c r="V18" i="4"/>
  <c r="T19" i="4"/>
  <c r="U19" i="4"/>
  <c r="V19" i="4"/>
  <c r="W16" i="4"/>
  <c r="W17" i="4"/>
  <c r="D20" i="3"/>
  <c r="E20" i="3"/>
  <c r="D22" i="3"/>
  <c r="B28" i="4"/>
  <c r="C28" i="4"/>
  <c r="D28" i="4"/>
  <c r="D30" i="2"/>
  <c r="E28" i="4"/>
  <c r="F28" i="4"/>
  <c r="G28" i="4"/>
  <c r="E30" i="2"/>
  <c r="K30" i="2"/>
  <c r="B29" i="4"/>
  <c r="C29" i="4"/>
  <c r="D29" i="4"/>
  <c r="D31" i="2"/>
  <c r="E29" i="4"/>
  <c r="F29" i="4"/>
  <c r="G29" i="4"/>
  <c r="E31" i="2"/>
  <c r="K31" i="2"/>
  <c r="B30" i="4"/>
  <c r="C30" i="4"/>
  <c r="D30" i="4"/>
  <c r="D32" i="2"/>
  <c r="E30" i="4"/>
  <c r="F30" i="4"/>
  <c r="G30" i="4"/>
  <c r="E32" i="2"/>
  <c r="K32" i="2"/>
  <c r="B31" i="4"/>
  <c r="C31" i="4"/>
  <c r="D31" i="4"/>
  <c r="D33" i="2"/>
  <c r="E31" i="4"/>
  <c r="F31" i="4"/>
  <c r="G31" i="4"/>
  <c r="E33" i="2"/>
  <c r="K33" i="2"/>
  <c r="J28" i="4"/>
  <c r="J29" i="4"/>
  <c r="J30" i="4"/>
  <c r="J31" i="4"/>
  <c r="K28" i="4"/>
  <c r="G30" i="2"/>
  <c r="I30" i="2"/>
  <c r="J30" i="2"/>
  <c r="M28" i="3"/>
  <c r="L28" i="4"/>
  <c r="K29" i="4"/>
  <c r="G31" i="2"/>
  <c r="I31" i="2"/>
  <c r="J31" i="2"/>
  <c r="M29" i="3"/>
  <c r="L29" i="4"/>
  <c r="K30" i="4"/>
  <c r="G32" i="2"/>
  <c r="I32" i="2"/>
  <c r="J32" i="2"/>
  <c r="M30" i="3"/>
  <c r="L30" i="4"/>
  <c r="K31" i="4"/>
  <c r="G33" i="2"/>
  <c r="I33" i="2"/>
  <c r="J33" i="2"/>
  <c r="M31" i="3"/>
  <c r="L31" i="4"/>
  <c r="N28" i="4"/>
  <c r="O28" i="4"/>
  <c r="P28" i="4"/>
  <c r="N29" i="4"/>
  <c r="M29" i="4"/>
  <c r="M28" i="4"/>
  <c r="M30" i="4"/>
  <c r="M31" i="4"/>
  <c r="O29" i="4"/>
  <c r="P29" i="4"/>
  <c r="N30" i="4"/>
  <c r="O30" i="4"/>
  <c r="P30" i="4"/>
  <c r="N31" i="4"/>
  <c r="O31" i="4"/>
  <c r="P31" i="4"/>
  <c r="Q28" i="4"/>
  <c r="N28" i="3"/>
  <c r="R28" i="4"/>
  <c r="Q29" i="4"/>
  <c r="N29" i="3"/>
  <c r="R29" i="4"/>
  <c r="Q30" i="4"/>
  <c r="N30" i="3"/>
  <c r="R30" i="4"/>
  <c r="Q31" i="4"/>
  <c r="N31" i="3"/>
  <c r="R31" i="4"/>
  <c r="T28" i="4"/>
  <c r="U28" i="4"/>
  <c r="V28" i="4"/>
  <c r="D25" i="3"/>
  <c r="E22" i="3"/>
  <c r="E25" i="3"/>
  <c r="O17" i="3"/>
  <c r="X17" i="4"/>
  <c r="W18" i="4"/>
  <c r="D21" i="3"/>
  <c r="D23" i="3"/>
  <c r="E23" i="3"/>
  <c r="E21" i="3"/>
  <c r="O18" i="3"/>
  <c r="X18" i="4"/>
  <c r="D24" i="3"/>
  <c r="E24" i="3"/>
  <c r="O16" i="3"/>
  <c r="X16" i="4"/>
  <c r="W19" i="4"/>
  <c r="O19" i="3"/>
  <c r="X19" i="4"/>
  <c r="Z16" i="4"/>
  <c r="AA16" i="4"/>
  <c r="AB16" i="4"/>
  <c r="Z17" i="4"/>
  <c r="Y17" i="4"/>
  <c r="Y18" i="4"/>
  <c r="Y16" i="4"/>
  <c r="Y19" i="4"/>
  <c r="AA17" i="4"/>
  <c r="AB17" i="4"/>
  <c r="Z18" i="4"/>
  <c r="AA18" i="4"/>
  <c r="AB18" i="4"/>
  <c r="Z19" i="4"/>
  <c r="AA19" i="4"/>
  <c r="AB19" i="4"/>
  <c r="AC16" i="4"/>
  <c r="F20" i="3"/>
  <c r="F23" i="3"/>
  <c r="F24" i="3"/>
  <c r="G20" i="3"/>
  <c r="G23" i="3"/>
  <c r="G24" i="3"/>
  <c r="P16" i="3"/>
  <c r="AD16" i="4"/>
  <c r="AC17" i="4"/>
  <c r="F22" i="3"/>
  <c r="T29" i="4"/>
  <c r="S29" i="4"/>
  <c r="S28" i="4"/>
  <c r="S30" i="4"/>
  <c r="S31" i="4"/>
  <c r="U29" i="4"/>
  <c r="V29" i="4"/>
  <c r="T30" i="4"/>
  <c r="U30" i="4"/>
  <c r="V30" i="4"/>
  <c r="T31" i="4"/>
  <c r="U31" i="4"/>
  <c r="V31" i="4"/>
  <c r="W28" i="4"/>
  <c r="D37" i="3"/>
  <c r="E37" i="3"/>
  <c r="D38" i="3"/>
  <c r="E38" i="3"/>
  <c r="D40" i="3"/>
  <c r="E40" i="3"/>
  <c r="O28" i="3"/>
  <c r="X28" i="4"/>
  <c r="W29" i="4"/>
  <c r="D39" i="3"/>
  <c r="E39" i="3"/>
  <c r="D41" i="3"/>
  <c r="E41" i="3"/>
  <c r="O29" i="3"/>
  <c r="X29" i="4"/>
  <c r="W30" i="4"/>
  <c r="D36" i="3"/>
  <c r="E36" i="3"/>
  <c r="O30" i="3"/>
  <c r="X30" i="4"/>
  <c r="W31" i="4"/>
  <c r="O31" i="3"/>
  <c r="X31" i="4"/>
  <c r="Z28" i="4"/>
  <c r="AA28" i="4"/>
  <c r="AB28" i="4"/>
  <c r="F25" i="3"/>
  <c r="G22" i="3"/>
  <c r="G25" i="3"/>
  <c r="P17" i="3"/>
  <c r="AD17" i="4"/>
  <c r="AC18" i="4"/>
  <c r="F21" i="3"/>
  <c r="G21" i="3"/>
  <c r="P18" i="3"/>
  <c r="AD18" i="4"/>
  <c r="AC19" i="4"/>
  <c r="P19" i="3"/>
  <c r="AD19" i="4"/>
  <c r="AF16" i="4"/>
  <c r="AG16" i="4"/>
  <c r="AH16" i="4"/>
  <c r="AF17" i="4"/>
  <c r="AE17" i="4"/>
  <c r="AE16" i="4"/>
  <c r="AE18" i="4"/>
  <c r="AE19" i="4"/>
  <c r="AG17" i="4"/>
  <c r="AH17" i="4"/>
  <c r="AF18" i="4"/>
  <c r="AG18" i="4"/>
  <c r="AH18" i="4"/>
  <c r="AF19" i="4"/>
  <c r="AG19" i="4"/>
  <c r="AH19" i="4"/>
  <c r="AI16" i="4"/>
  <c r="H20" i="3"/>
  <c r="H23" i="3"/>
  <c r="H24" i="3"/>
  <c r="J24" i="3"/>
  <c r="I23" i="3"/>
  <c r="I20" i="3"/>
  <c r="Q16" i="3"/>
  <c r="AJ16" i="4"/>
  <c r="AI17" i="4"/>
  <c r="H22" i="3"/>
  <c r="Z29" i="4"/>
  <c r="AA29" i="4"/>
  <c r="AB29" i="4"/>
  <c r="Z30" i="4"/>
  <c r="AA30" i="4"/>
  <c r="AB30" i="4"/>
  <c r="Z31" i="4"/>
  <c r="AA31" i="4"/>
  <c r="AB31" i="4"/>
  <c r="AC28" i="4"/>
  <c r="F37" i="3"/>
  <c r="G37" i="3"/>
  <c r="F38" i="3"/>
  <c r="G38" i="3"/>
  <c r="F40" i="3"/>
  <c r="G40" i="3"/>
  <c r="P28" i="3"/>
  <c r="AD28" i="4"/>
  <c r="AC29" i="4"/>
  <c r="F39" i="3"/>
  <c r="G39" i="3"/>
  <c r="F41" i="3"/>
  <c r="G41" i="3"/>
  <c r="P29" i="3"/>
  <c r="AD29" i="4"/>
  <c r="AC30" i="4"/>
  <c r="F36" i="3"/>
  <c r="G36" i="3"/>
  <c r="P30" i="3"/>
  <c r="AD30" i="4"/>
  <c r="AC31" i="4"/>
  <c r="P31" i="3"/>
  <c r="AD31" i="4"/>
  <c r="AF28" i="4"/>
  <c r="AG28" i="4"/>
  <c r="AH28" i="4"/>
  <c r="H25" i="3"/>
  <c r="J20" i="3"/>
  <c r="J22" i="3"/>
  <c r="I25" i="3"/>
  <c r="Q17" i="3"/>
  <c r="AJ17" i="4"/>
  <c r="AI18" i="4"/>
  <c r="H21" i="3"/>
  <c r="I21" i="3"/>
  <c r="J23" i="3"/>
  <c r="J25" i="3"/>
  <c r="Q18" i="3"/>
  <c r="AJ18" i="4"/>
  <c r="AI19" i="4"/>
  <c r="J21" i="3"/>
  <c r="I24" i="3"/>
  <c r="I22" i="3"/>
  <c r="Q19" i="3"/>
  <c r="AJ19" i="4"/>
  <c r="AL16" i="4"/>
  <c r="AM16" i="4"/>
  <c r="AN16" i="4"/>
  <c r="AO16" i="4"/>
  <c r="L18" i="2"/>
  <c r="AL17" i="4"/>
  <c r="Y29" i="4"/>
  <c r="Y28" i="4"/>
  <c r="Y30" i="4"/>
  <c r="Y31" i="4"/>
  <c r="AK17" i="4"/>
  <c r="AK16" i="4"/>
  <c r="AK18" i="4"/>
  <c r="AK19" i="4"/>
  <c r="AM17" i="4"/>
  <c r="AN17" i="4"/>
  <c r="AO17" i="4"/>
  <c r="L19" i="2"/>
  <c r="AL18" i="4"/>
  <c r="AM18" i="4"/>
  <c r="AN18" i="4"/>
  <c r="AO18" i="4"/>
  <c r="L20" i="2"/>
  <c r="AL19" i="4"/>
  <c r="AM19" i="4"/>
  <c r="AN19" i="4"/>
  <c r="AO19" i="4"/>
  <c r="L21" i="2"/>
  <c r="M21" i="2"/>
  <c r="N21" i="2"/>
  <c r="O21" i="2"/>
  <c r="A21" i="2"/>
  <c r="M20" i="2"/>
  <c r="N20" i="2"/>
  <c r="O20" i="2"/>
  <c r="A20" i="2"/>
  <c r="A19" i="2"/>
  <c r="A18" i="2"/>
  <c r="N19" i="2"/>
  <c r="N18" i="2"/>
  <c r="M19" i="2"/>
  <c r="M18" i="2"/>
  <c r="B10" i="4"/>
  <c r="C10" i="4"/>
  <c r="D10" i="4"/>
  <c r="D12" i="2"/>
  <c r="E10" i="4"/>
  <c r="F10" i="4"/>
  <c r="G10" i="4"/>
  <c r="E12" i="2"/>
  <c r="K12" i="2"/>
  <c r="B11" i="4"/>
  <c r="C11" i="4"/>
  <c r="D11" i="4"/>
  <c r="D13" i="2"/>
  <c r="E11" i="4"/>
  <c r="F11" i="4"/>
  <c r="G11" i="4"/>
  <c r="E13" i="2"/>
  <c r="K13" i="2"/>
  <c r="B12" i="4"/>
  <c r="C12" i="4"/>
  <c r="D12" i="4"/>
  <c r="D14" i="2"/>
  <c r="E12" i="4"/>
  <c r="F12" i="4"/>
  <c r="G12" i="4"/>
  <c r="E14" i="2"/>
  <c r="K14" i="2"/>
  <c r="B13" i="4"/>
  <c r="C13" i="4"/>
  <c r="D13" i="4"/>
  <c r="D15" i="2"/>
  <c r="E13" i="4"/>
  <c r="F13" i="4"/>
  <c r="G13" i="4"/>
  <c r="E15" i="2"/>
  <c r="K15" i="2"/>
  <c r="J10" i="4"/>
  <c r="J11" i="4"/>
  <c r="J12" i="4"/>
  <c r="J13" i="4"/>
  <c r="K10" i="4"/>
  <c r="G12" i="2"/>
  <c r="I12" i="2"/>
  <c r="J12" i="2"/>
  <c r="M10" i="3"/>
  <c r="L10" i="4"/>
  <c r="K11" i="4"/>
  <c r="G13" i="2"/>
  <c r="I13" i="2"/>
  <c r="J13" i="2"/>
  <c r="M11" i="3"/>
  <c r="L11" i="4"/>
  <c r="K12" i="4"/>
  <c r="G14" i="2"/>
  <c r="I14" i="2"/>
  <c r="J14" i="2"/>
  <c r="M12" i="3"/>
  <c r="L12" i="4"/>
  <c r="K13" i="4"/>
  <c r="G15" i="2"/>
  <c r="I15" i="2"/>
  <c r="J15" i="2"/>
  <c r="M13" i="3"/>
  <c r="L13" i="4"/>
  <c r="N10" i="4"/>
  <c r="O10" i="4"/>
  <c r="P10" i="4"/>
  <c r="N11" i="4"/>
  <c r="M11" i="4"/>
  <c r="M10" i="4"/>
  <c r="M12" i="4"/>
  <c r="M13" i="4"/>
  <c r="O11" i="4"/>
  <c r="P11" i="4"/>
  <c r="N12" i="4"/>
  <c r="O12" i="4"/>
  <c r="P12" i="4"/>
  <c r="N13" i="4"/>
  <c r="O13" i="4"/>
  <c r="P13" i="4"/>
  <c r="Q10" i="4"/>
  <c r="N10" i="3"/>
  <c r="R10" i="4"/>
  <c r="Q11" i="4"/>
  <c r="N11" i="3"/>
  <c r="R11" i="4"/>
  <c r="Q12" i="4"/>
  <c r="N12" i="3"/>
  <c r="R12" i="4"/>
  <c r="Q13" i="4"/>
  <c r="N13" i="3"/>
  <c r="R13" i="4"/>
  <c r="T10" i="4"/>
  <c r="U10" i="4"/>
  <c r="V10" i="4"/>
  <c r="T11" i="4"/>
  <c r="S11" i="4"/>
  <c r="S10" i="4"/>
  <c r="S12" i="4"/>
  <c r="S13" i="4"/>
  <c r="U11" i="4"/>
  <c r="V11" i="4"/>
  <c r="T12" i="4"/>
  <c r="U12" i="4"/>
  <c r="V12" i="4"/>
  <c r="T13" i="4"/>
  <c r="U13" i="4"/>
  <c r="V13" i="4"/>
  <c r="W10" i="4"/>
  <c r="D13" i="3"/>
  <c r="E13" i="3"/>
  <c r="D14" i="3"/>
  <c r="E14" i="3"/>
  <c r="D16" i="3"/>
  <c r="E16" i="3"/>
  <c r="O10" i="3"/>
  <c r="X10" i="4"/>
  <c r="W11" i="4"/>
  <c r="D15" i="3"/>
  <c r="E15" i="3"/>
  <c r="D17" i="3"/>
  <c r="E17" i="3"/>
  <c r="O11" i="3"/>
  <c r="X11" i="4"/>
  <c r="W12" i="4"/>
  <c r="D12" i="3"/>
  <c r="E12" i="3"/>
  <c r="O12" i="3"/>
  <c r="X12" i="4"/>
  <c r="W13" i="4"/>
  <c r="O13" i="3"/>
  <c r="X13" i="4"/>
  <c r="Z10" i="4"/>
  <c r="AA10" i="4"/>
  <c r="AB10" i="4"/>
  <c r="Z11" i="4"/>
  <c r="Y11" i="4"/>
  <c r="Y10" i="4"/>
  <c r="Y12" i="4"/>
  <c r="Y13" i="4"/>
  <c r="AA11" i="4"/>
  <c r="AB11" i="4"/>
  <c r="Z12" i="4"/>
  <c r="AA12" i="4"/>
  <c r="AB12" i="4"/>
  <c r="Z13" i="4"/>
  <c r="AA13" i="4"/>
  <c r="AB13" i="4"/>
  <c r="AC10" i="4"/>
  <c r="F13" i="3"/>
  <c r="G13" i="3"/>
  <c r="F14" i="3"/>
  <c r="G14" i="3"/>
  <c r="F16" i="3"/>
  <c r="G16" i="3"/>
  <c r="P10" i="3"/>
  <c r="AD10" i="4"/>
  <c r="AC11" i="4"/>
  <c r="F15" i="3"/>
  <c r="G15" i="3"/>
  <c r="F17" i="3"/>
  <c r="G17" i="3"/>
  <c r="P11" i="3"/>
  <c r="AD11" i="4"/>
  <c r="AC12" i="4"/>
  <c r="F12" i="3"/>
  <c r="G12" i="3"/>
  <c r="P12" i="3"/>
  <c r="AD12" i="4"/>
  <c r="AC13" i="4"/>
  <c r="P13" i="3"/>
  <c r="AD13" i="4"/>
  <c r="AF10" i="4"/>
  <c r="AG10" i="4"/>
  <c r="AH10" i="4"/>
  <c r="AF11" i="4"/>
  <c r="AE11" i="4"/>
  <c r="AE10" i="4"/>
  <c r="AE12" i="4"/>
  <c r="AE13" i="4"/>
  <c r="AG11" i="4"/>
  <c r="AH11" i="4"/>
  <c r="AF12" i="4"/>
  <c r="AG12" i="4"/>
  <c r="AH12" i="4"/>
  <c r="AF13" i="4"/>
  <c r="AG13" i="4"/>
  <c r="AH13" i="4"/>
  <c r="AI10" i="4"/>
  <c r="AM10" i="4"/>
  <c r="H13" i="3"/>
  <c r="H14" i="3"/>
  <c r="H16" i="3"/>
  <c r="J16" i="3"/>
  <c r="I14" i="3"/>
  <c r="I13" i="3"/>
  <c r="Q10" i="3"/>
  <c r="AJ10" i="4"/>
  <c r="AI11" i="4"/>
  <c r="H15" i="3"/>
  <c r="H17" i="3"/>
  <c r="J13" i="3"/>
  <c r="J15" i="3"/>
  <c r="I17" i="3"/>
  <c r="Q11" i="3"/>
  <c r="AJ11" i="4"/>
  <c r="AI12" i="4"/>
  <c r="H12" i="3"/>
  <c r="I12" i="3"/>
  <c r="J14" i="3"/>
  <c r="J17" i="3"/>
  <c r="Q12" i="3"/>
  <c r="AJ12" i="4"/>
  <c r="AI13" i="4"/>
  <c r="J12" i="3"/>
  <c r="I16" i="3"/>
  <c r="I15" i="3"/>
  <c r="Q13" i="3"/>
  <c r="AJ13" i="4"/>
  <c r="AL10" i="4"/>
  <c r="AN10" i="4"/>
  <c r="AO10" i="4"/>
  <c r="L12" i="2"/>
  <c r="AL11" i="4"/>
  <c r="AK11" i="4"/>
  <c r="AK10" i="4"/>
  <c r="AK12" i="4"/>
  <c r="AK13" i="4"/>
  <c r="AM11" i="4"/>
  <c r="AN11" i="4"/>
  <c r="AO11" i="4"/>
  <c r="L13" i="2"/>
  <c r="AM12" i="4"/>
  <c r="AL12" i="4"/>
  <c r="AN12" i="4"/>
  <c r="AO12" i="4"/>
  <c r="L14" i="2"/>
  <c r="AM13" i="4"/>
  <c r="AL13" i="4"/>
  <c r="AN13" i="4"/>
  <c r="AO13" i="4"/>
  <c r="L15" i="2"/>
  <c r="N15" i="2"/>
  <c r="N14" i="2"/>
  <c r="N13" i="2"/>
  <c r="N12" i="2"/>
  <c r="M15" i="2"/>
  <c r="M14" i="2"/>
  <c r="M13" i="2"/>
  <c r="M12" i="2"/>
  <c r="N6" i="2"/>
  <c r="M6" i="2"/>
  <c r="O6" i="2"/>
  <c r="O19" i="2"/>
  <c r="O18" i="2"/>
  <c r="O15" i="2"/>
  <c r="O13" i="2"/>
  <c r="O14" i="2"/>
  <c r="O12" i="2"/>
  <c r="A15" i="2"/>
  <c r="A14" i="2"/>
  <c r="A13" i="2"/>
  <c r="A12" i="2"/>
  <c r="A6" i="2"/>
  <c r="B46" i="4"/>
  <c r="C46" i="4"/>
  <c r="D46" i="4"/>
  <c r="D48" i="2"/>
  <c r="E46" i="4"/>
  <c r="F46" i="4"/>
  <c r="G46" i="4"/>
  <c r="E48" i="2"/>
  <c r="K48" i="2"/>
  <c r="B47" i="4"/>
  <c r="C47" i="4"/>
  <c r="D47" i="4"/>
  <c r="D49" i="2"/>
  <c r="E47" i="4"/>
  <c r="F47" i="4"/>
  <c r="G47" i="4"/>
  <c r="E49" i="2"/>
  <c r="K49" i="2"/>
  <c r="B48" i="4"/>
  <c r="C48" i="4"/>
  <c r="D48" i="4"/>
  <c r="D50" i="2"/>
  <c r="E48" i="4"/>
  <c r="F48" i="4"/>
  <c r="G48" i="4"/>
  <c r="E50" i="2"/>
  <c r="K50" i="2"/>
  <c r="B49" i="4"/>
  <c r="C49" i="4"/>
  <c r="D49" i="4"/>
  <c r="D51" i="2"/>
  <c r="E49" i="4"/>
  <c r="F49" i="4"/>
  <c r="G49" i="4"/>
  <c r="E51" i="2"/>
  <c r="K51" i="2"/>
  <c r="J46" i="4"/>
  <c r="J47" i="4"/>
  <c r="J48" i="4"/>
  <c r="J49" i="4"/>
  <c r="K46" i="4"/>
  <c r="G48" i="2"/>
  <c r="I48" i="2"/>
  <c r="J48" i="2"/>
  <c r="M46" i="3"/>
  <c r="L46" i="4"/>
  <c r="K47" i="4"/>
  <c r="G49" i="2"/>
  <c r="I49" i="2"/>
  <c r="J49" i="2"/>
  <c r="M47" i="3"/>
  <c r="L47" i="4"/>
  <c r="K48" i="4"/>
  <c r="G50" i="2"/>
  <c r="I50" i="2"/>
  <c r="J50" i="2"/>
  <c r="M48" i="3"/>
  <c r="L48" i="4"/>
  <c r="K49" i="4"/>
  <c r="G51" i="2"/>
  <c r="I51" i="2"/>
  <c r="J51" i="2"/>
  <c r="M49" i="3"/>
  <c r="L49" i="4"/>
  <c r="N46" i="4"/>
  <c r="O46" i="4"/>
  <c r="P46" i="4"/>
  <c r="N47" i="4"/>
  <c r="M47" i="4"/>
  <c r="M46" i="4"/>
  <c r="M48" i="4"/>
  <c r="M49" i="4"/>
  <c r="O47" i="4"/>
  <c r="P47" i="4"/>
  <c r="N48" i="4"/>
  <c r="O48" i="4"/>
  <c r="P48" i="4"/>
  <c r="N49" i="4"/>
  <c r="O49" i="4"/>
  <c r="P49" i="4"/>
  <c r="Q46" i="4"/>
  <c r="N46" i="3"/>
  <c r="R46" i="4"/>
  <c r="Q47" i="4"/>
  <c r="N47" i="3"/>
  <c r="R47" i="4"/>
  <c r="Q48" i="4"/>
  <c r="N48" i="3"/>
  <c r="R48" i="4"/>
  <c r="Q49" i="4"/>
  <c r="N49" i="3"/>
  <c r="R49" i="4"/>
  <c r="T46" i="4"/>
  <c r="U46" i="4"/>
  <c r="V46" i="4"/>
  <c r="T47" i="4"/>
  <c r="S47" i="4"/>
  <c r="S46" i="4"/>
  <c r="S48" i="4"/>
  <c r="S49" i="4"/>
  <c r="U47" i="4"/>
  <c r="V47" i="4"/>
  <c r="T48" i="4"/>
  <c r="U48" i="4"/>
  <c r="V48" i="4"/>
  <c r="T49" i="4"/>
  <c r="U49" i="4"/>
  <c r="V49" i="4"/>
  <c r="W46" i="4"/>
  <c r="D61" i="3"/>
  <c r="E61" i="3"/>
  <c r="D63" i="3"/>
  <c r="E63" i="3"/>
  <c r="D64" i="3"/>
  <c r="E64" i="3"/>
  <c r="O46" i="3"/>
  <c r="X46" i="4"/>
  <c r="W47" i="4"/>
  <c r="D62" i="3"/>
  <c r="D65" i="3"/>
  <c r="E62" i="3"/>
  <c r="E65" i="3"/>
  <c r="O47" i="3"/>
  <c r="X47" i="4"/>
  <c r="W48" i="4"/>
  <c r="D60" i="3"/>
  <c r="E60" i="3"/>
  <c r="O48" i="3"/>
  <c r="X48" i="4"/>
  <c r="W49" i="4"/>
  <c r="O49" i="3"/>
  <c r="X49" i="4"/>
  <c r="Z46" i="4"/>
  <c r="AA46" i="4"/>
  <c r="AB46" i="4"/>
  <c r="Z47" i="4"/>
  <c r="Y47" i="4"/>
  <c r="Y46" i="4"/>
  <c r="Y48" i="4"/>
  <c r="Y49" i="4"/>
  <c r="AA47" i="4"/>
  <c r="AB47" i="4"/>
  <c r="Z48" i="4"/>
  <c r="AA48" i="4"/>
  <c r="AB48" i="4"/>
  <c r="Z49" i="4"/>
  <c r="AA49" i="4"/>
  <c r="AB49" i="4"/>
  <c r="AC46" i="4"/>
  <c r="F61" i="3"/>
  <c r="G61" i="3"/>
  <c r="F63" i="3"/>
  <c r="G63" i="3"/>
  <c r="F64" i="3"/>
  <c r="G64" i="3"/>
  <c r="P46" i="3"/>
  <c r="AD46" i="4"/>
  <c r="AC47" i="4"/>
  <c r="F62" i="3"/>
  <c r="F65" i="3"/>
  <c r="G62" i="3"/>
  <c r="G65" i="3"/>
  <c r="P47" i="3"/>
  <c r="AD47" i="4"/>
  <c r="AC48" i="4"/>
  <c r="F60" i="3"/>
  <c r="G60" i="3"/>
  <c r="P48" i="3"/>
  <c r="AD48" i="4"/>
  <c r="AC49" i="4"/>
  <c r="P49" i="3"/>
  <c r="AD49" i="4"/>
  <c r="AF46" i="4"/>
  <c r="AG46" i="4"/>
  <c r="AH46" i="4"/>
  <c r="AF47" i="4"/>
  <c r="AE47" i="4"/>
  <c r="AE46" i="4"/>
  <c r="AE48" i="4"/>
  <c r="AE49" i="4"/>
  <c r="AG47" i="4"/>
  <c r="AH47" i="4"/>
  <c r="AF48" i="4"/>
  <c r="AG48" i="4"/>
  <c r="AH48" i="4"/>
  <c r="AF49" i="4"/>
  <c r="AG49" i="4"/>
  <c r="AH49" i="4"/>
  <c r="AI46" i="4"/>
  <c r="H61" i="3"/>
  <c r="H63" i="3"/>
  <c r="H64" i="3"/>
  <c r="J64" i="3"/>
  <c r="I63" i="3"/>
  <c r="I61" i="3"/>
  <c r="Q46" i="3"/>
  <c r="AJ46" i="4"/>
  <c r="AI47" i="4"/>
  <c r="H62" i="3"/>
  <c r="H65" i="3"/>
  <c r="J61" i="3"/>
  <c r="J62" i="3"/>
  <c r="I65" i="3"/>
  <c r="Q47" i="3"/>
  <c r="AJ47" i="4"/>
  <c r="AI48" i="4"/>
  <c r="H60" i="3"/>
  <c r="I60" i="3"/>
  <c r="J63" i="3"/>
  <c r="J65" i="3"/>
  <c r="Q48" i="3"/>
  <c r="AJ48" i="4"/>
  <c r="AI49" i="4"/>
  <c r="J60" i="3"/>
  <c r="I64" i="3"/>
  <c r="I62" i="3"/>
  <c r="Q49" i="3"/>
  <c r="AJ49" i="4"/>
  <c r="AL46" i="4"/>
  <c r="AM46" i="4"/>
  <c r="AN46" i="4"/>
  <c r="AO46" i="4"/>
  <c r="L48" i="2"/>
  <c r="AL47" i="4"/>
  <c r="AK47" i="4"/>
  <c r="AK46" i="4"/>
  <c r="AK48" i="4"/>
  <c r="AK49" i="4"/>
  <c r="AM47" i="4"/>
  <c r="AN47" i="4"/>
  <c r="AO47" i="4"/>
  <c r="L49" i="2"/>
  <c r="AL48" i="4"/>
  <c r="AM48" i="4"/>
  <c r="AN48" i="4"/>
  <c r="AO48" i="4"/>
  <c r="L50" i="2"/>
  <c r="AL49" i="4"/>
  <c r="AM49" i="4"/>
  <c r="AN49" i="4"/>
  <c r="AO49" i="4"/>
  <c r="L51" i="2"/>
  <c r="M51" i="2"/>
  <c r="N51" i="2"/>
  <c r="O51" i="2"/>
  <c r="A51" i="2"/>
  <c r="M50" i="2"/>
  <c r="N50" i="2"/>
  <c r="O50" i="2"/>
  <c r="A50" i="2"/>
  <c r="M49" i="2"/>
  <c r="N49" i="2"/>
  <c r="O49" i="2"/>
  <c r="A49" i="2"/>
  <c r="A48" i="2"/>
  <c r="O48" i="2"/>
  <c r="N48" i="2"/>
  <c r="M48" i="2"/>
  <c r="B41" i="4"/>
  <c r="C41" i="4"/>
  <c r="D41" i="4"/>
  <c r="D43" i="2"/>
  <c r="E41" i="4"/>
  <c r="F41" i="4"/>
  <c r="G41" i="4"/>
  <c r="E43" i="2"/>
  <c r="K43" i="2"/>
  <c r="B40" i="4"/>
  <c r="C40" i="4"/>
  <c r="D40" i="4"/>
  <c r="D42" i="2"/>
  <c r="E40" i="4"/>
  <c r="F40" i="4"/>
  <c r="G40" i="4"/>
  <c r="E42" i="2"/>
  <c r="K42" i="2"/>
  <c r="B42" i="4"/>
  <c r="C42" i="4"/>
  <c r="D42" i="4"/>
  <c r="D44" i="2"/>
  <c r="E42" i="4"/>
  <c r="F42" i="4"/>
  <c r="G42" i="4"/>
  <c r="E44" i="2"/>
  <c r="K44" i="2"/>
  <c r="B43" i="4"/>
  <c r="C43" i="4"/>
  <c r="D43" i="4"/>
  <c r="D45" i="2"/>
  <c r="E43" i="4"/>
  <c r="F43" i="4"/>
  <c r="G43" i="4"/>
  <c r="E45" i="2"/>
  <c r="K45" i="2"/>
  <c r="J41" i="4"/>
  <c r="J40" i="4"/>
  <c r="J42" i="4"/>
  <c r="J43" i="4"/>
  <c r="K40" i="4"/>
  <c r="K41" i="4"/>
  <c r="G43" i="2"/>
  <c r="I43" i="2"/>
  <c r="J43" i="2"/>
  <c r="M41" i="3"/>
  <c r="L41" i="4"/>
  <c r="G42" i="2"/>
  <c r="I42" i="2"/>
  <c r="J42" i="2"/>
  <c r="M40" i="3"/>
  <c r="L40" i="4"/>
  <c r="K42" i="4"/>
  <c r="G44" i="2"/>
  <c r="I44" i="2"/>
  <c r="J44" i="2"/>
  <c r="M42" i="3"/>
  <c r="L42" i="4"/>
  <c r="K43" i="4"/>
  <c r="G45" i="2"/>
  <c r="I45" i="2"/>
  <c r="J45" i="2"/>
  <c r="M43" i="3"/>
  <c r="L43" i="4"/>
  <c r="N41" i="4"/>
  <c r="M41" i="4"/>
  <c r="M40" i="4"/>
  <c r="M42" i="4"/>
  <c r="M43" i="4"/>
  <c r="O41" i="4"/>
  <c r="P41" i="4"/>
  <c r="N40" i="4"/>
  <c r="O40" i="4"/>
  <c r="P40" i="4"/>
  <c r="N42" i="4"/>
  <c r="O42" i="4"/>
  <c r="P42" i="4"/>
  <c r="N43" i="4"/>
  <c r="O43" i="4"/>
  <c r="P43" i="4"/>
  <c r="Q40" i="4"/>
  <c r="Q41" i="4"/>
  <c r="N41" i="3"/>
  <c r="R41" i="4"/>
  <c r="N40" i="3"/>
  <c r="R40" i="4"/>
  <c r="Q42" i="4"/>
  <c r="N42" i="3"/>
  <c r="R42" i="4"/>
  <c r="Q43" i="4"/>
  <c r="N43" i="3"/>
  <c r="R43" i="4"/>
  <c r="T41" i="4"/>
  <c r="U41" i="4"/>
  <c r="V41" i="4"/>
  <c r="T40" i="4"/>
  <c r="U40" i="4"/>
  <c r="V40" i="4"/>
  <c r="T42" i="4"/>
  <c r="U42" i="4"/>
  <c r="V42" i="4"/>
  <c r="T43" i="4"/>
  <c r="U43" i="4"/>
  <c r="V43" i="4"/>
  <c r="W41" i="4"/>
  <c r="D52" i="3"/>
  <c r="D55" i="3"/>
  <c r="D57" i="3"/>
  <c r="E57" i="3"/>
  <c r="E52" i="3"/>
  <c r="E55" i="3"/>
  <c r="O41" i="3"/>
  <c r="X41" i="4"/>
  <c r="W42" i="4"/>
  <c r="D53" i="3"/>
  <c r="D54" i="3"/>
  <c r="E53" i="3"/>
  <c r="E54" i="3"/>
  <c r="O42" i="3"/>
  <c r="X42" i="4"/>
  <c r="W43" i="4"/>
  <c r="D56" i="3"/>
  <c r="E56" i="3"/>
  <c r="O43" i="3"/>
  <c r="X43" i="4"/>
  <c r="W40" i="4"/>
  <c r="O40" i="3"/>
  <c r="X40" i="4"/>
  <c r="Z40" i="4"/>
  <c r="AA40" i="4"/>
  <c r="AB40" i="4"/>
  <c r="Z41" i="4"/>
  <c r="Y41" i="4"/>
  <c r="Y40" i="4"/>
  <c r="Y42" i="4"/>
  <c r="Y43" i="4"/>
  <c r="AA41" i="4"/>
  <c r="AB41" i="4"/>
  <c r="Z42" i="4"/>
  <c r="AA42" i="4"/>
  <c r="AB42" i="4"/>
  <c r="Z43" i="4"/>
  <c r="AA43" i="4"/>
  <c r="AB43" i="4"/>
  <c r="AC40" i="4"/>
  <c r="F52" i="3"/>
  <c r="F54" i="3"/>
  <c r="F56" i="3"/>
  <c r="G52" i="3"/>
  <c r="G54" i="3"/>
  <c r="G56" i="3"/>
  <c r="P40" i="3"/>
  <c r="AD40" i="4"/>
  <c r="AC41" i="4"/>
  <c r="F55" i="3"/>
  <c r="F57" i="3"/>
  <c r="G57" i="3"/>
  <c r="G55" i="3"/>
  <c r="P41" i="3"/>
  <c r="AD41" i="4"/>
  <c r="AC42" i="4"/>
  <c r="F53" i="3"/>
  <c r="G53" i="3"/>
  <c r="P42" i="3"/>
  <c r="AD42" i="4"/>
  <c r="AC43" i="4"/>
  <c r="P43" i="3"/>
  <c r="AD43" i="4"/>
  <c r="AF40" i="4"/>
  <c r="AG40" i="4"/>
  <c r="AH40" i="4"/>
  <c r="AF41" i="4"/>
  <c r="AE41" i="4"/>
  <c r="AE40" i="4"/>
  <c r="AE42" i="4"/>
  <c r="AE43" i="4"/>
  <c r="AG41" i="4"/>
  <c r="AH41" i="4"/>
  <c r="AF42" i="4"/>
  <c r="AG42" i="4"/>
  <c r="AH42" i="4"/>
  <c r="AF43" i="4"/>
  <c r="AG43" i="4"/>
  <c r="AH43" i="4"/>
  <c r="AI40" i="4"/>
  <c r="H52" i="3"/>
  <c r="H54" i="3"/>
  <c r="H56" i="3"/>
  <c r="J56" i="3"/>
  <c r="I52" i="3"/>
  <c r="I54" i="3"/>
  <c r="Q40" i="3"/>
  <c r="AJ40" i="4"/>
  <c r="AI41" i="4"/>
  <c r="H55" i="3"/>
  <c r="H57" i="3"/>
  <c r="I57" i="3"/>
  <c r="J52" i="3"/>
  <c r="J55" i="3"/>
  <c r="Q41" i="3"/>
  <c r="AJ41" i="4"/>
  <c r="AI42" i="4"/>
  <c r="H53" i="3"/>
  <c r="J54" i="3"/>
  <c r="J57" i="3"/>
  <c r="I53" i="3"/>
  <c r="Q42" i="3"/>
  <c r="AJ42" i="4"/>
  <c r="AI43" i="4"/>
  <c r="J53" i="3"/>
  <c r="I55" i="3"/>
  <c r="I56" i="3"/>
  <c r="Q43" i="3"/>
  <c r="AJ43" i="4"/>
  <c r="AL40" i="4"/>
  <c r="AM40" i="4"/>
  <c r="AN40" i="4"/>
  <c r="AO40" i="4"/>
  <c r="L42" i="2"/>
  <c r="AL41" i="4"/>
  <c r="AK41" i="4"/>
  <c r="AK40" i="4"/>
  <c r="AK42" i="4"/>
  <c r="AK43" i="4"/>
  <c r="AM41" i="4"/>
  <c r="AN41" i="4"/>
  <c r="AO41" i="4"/>
  <c r="L43" i="2"/>
  <c r="AL42" i="4"/>
  <c r="AM42" i="4"/>
  <c r="AN42" i="4"/>
  <c r="AO42" i="4"/>
  <c r="L44" i="2"/>
  <c r="AL43" i="4"/>
  <c r="AM43" i="4"/>
  <c r="AN43" i="4"/>
  <c r="AO43" i="4"/>
  <c r="L45" i="2"/>
  <c r="M45" i="2"/>
  <c r="N45" i="2"/>
  <c r="O45" i="2"/>
  <c r="A45" i="2"/>
  <c r="M44" i="2"/>
  <c r="N44" i="2"/>
  <c r="O44" i="2"/>
  <c r="A44" i="2"/>
  <c r="M43" i="2"/>
  <c r="N43" i="2"/>
  <c r="O43" i="2"/>
  <c r="A43" i="2"/>
  <c r="A42" i="2"/>
  <c r="O42" i="2"/>
  <c r="N42" i="2"/>
  <c r="M42" i="2"/>
  <c r="W34" i="4"/>
  <c r="X34" i="4"/>
  <c r="W35" i="4"/>
  <c r="D46" i="3"/>
  <c r="O35" i="3"/>
  <c r="X35" i="4"/>
  <c r="W36" i="4"/>
  <c r="X36" i="4"/>
  <c r="W37" i="4"/>
  <c r="O37" i="3"/>
  <c r="X37" i="4"/>
  <c r="Z34" i="4"/>
  <c r="AA34" i="4"/>
  <c r="AB34" i="4"/>
  <c r="Z35" i="4"/>
  <c r="Y35" i="4"/>
  <c r="Y34" i="4"/>
  <c r="Y36" i="4"/>
  <c r="Y37" i="4"/>
  <c r="AA35" i="4"/>
  <c r="AB35" i="4"/>
  <c r="Z36" i="4"/>
  <c r="AA36" i="4"/>
  <c r="AB36" i="4"/>
  <c r="Z37" i="4"/>
  <c r="AA37" i="4"/>
  <c r="AB37" i="4"/>
  <c r="AC34" i="4"/>
  <c r="F44" i="3"/>
  <c r="G44" i="3"/>
  <c r="F47" i="3"/>
  <c r="G47" i="3"/>
  <c r="F48" i="3"/>
  <c r="G48" i="3"/>
  <c r="P34" i="3"/>
  <c r="AD34" i="4"/>
  <c r="AC35" i="4"/>
  <c r="F46" i="3"/>
  <c r="F49" i="3"/>
  <c r="G46" i="3"/>
  <c r="G49" i="3"/>
  <c r="P35" i="3"/>
  <c r="AD35" i="4"/>
  <c r="AC36" i="4"/>
  <c r="F45" i="3"/>
  <c r="G45" i="3"/>
  <c r="P36" i="3"/>
  <c r="AD36" i="4"/>
  <c r="AC37" i="4"/>
  <c r="P37" i="3"/>
  <c r="AD37" i="4"/>
  <c r="AF34" i="4"/>
  <c r="AG34" i="4"/>
  <c r="AH34" i="4"/>
  <c r="AF35" i="4"/>
  <c r="AE35" i="4"/>
  <c r="AE34" i="4"/>
  <c r="AE36" i="4"/>
  <c r="AE37" i="4"/>
  <c r="AG35" i="4"/>
  <c r="AH35" i="4"/>
  <c r="AF36" i="4"/>
  <c r="AG36" i="4"/>
  <c r="AH36" i="4"/>
  <c r="AF37" i="4"/>
  <c r="AG37" i="4"/>
  <c r="AH37" i="4"/>
  <c r="AI34" i="4"/>
  <c r="H44" i="3"/>
  <c r="H47" i="3"/>
  <c r="H48" i="3"/>
  <c r="J48" i="3"/>
  <c r="I47" i="3"/>
  <c r="I44" i="3"/>
  <c r="Q34" i="3"/>
  <c r="AJ34" i="4"/>
  <c r="AI35" i="4"/>
  <c r="H46" i="3"/>
  <c r="H49" i="3"/>
  <c r="J44" i="3"/>
  <c r="J46" i="3"/>
  <c r="I49" i="3"/>
  <c r="Q35" i="3"/>
  <c r="AJ35" i="4"/>
  <c r="AI36" i="4"/>
  <c r="H45" i="3"/>
  <c r="J47" i="3"/>
  <c r="J49" i="3"/>
  <c r="I45" i="3"/>
  <c r="Q36" i="3"/>
  <c r="AJ36" i="4"/>
  <c r="AI37" i="4"/>
  <c r="J45" i="3"/>
  <c r="I48" i="3"/>
  <c r="I46" i="3"/>
  <c r="Q37" i="3"/>
  <c r="AJ37" i="4"/>
  <c r="AL34" i="4"/>
  <c r="AM34" i="4"/>
  <c r="AN34" i="4"/>
  <c r="AO34" i="4"/>
  <c r="L36" i="2"/>
  <c r="AL35" i="4"/>
  <c r="AK35" i="4"/>
  <c r="AK34" i="4"/>
  <c r="AK36" i="4"/>
  <c r="AK37" i="4"/>
  <c r="AM35" i="4"/>
  <c r="AN35" i="4"/>
  <c r="AO35" i="4"/>
  <c r="L37" i="2"/>
  <c r="AL36" i="4"/>
  <c r="AM36" i="4"/>
  <c r="AN36" i="4"/>
  <c r="AO36" i="4"/>
  <c r="L38" i="2"/>
  <c r="AL37" i="4"/>
  <c r="AM37" i="4"/>
  <c r="AN37" i="4"/>
  <c r="AO37" i="4"/>
  <c r="L39" i="2"/>
  <c r="M37" i="2"/>
  <c r="N37" i="2"/>
  <c r="O37" i="2"/>
  <c r="M38" i="2"/>
  <c r="N38" i="2"/>
  <c r="O38" i="2"/>
  <c r="M39" i="2"/>
  <c r="N39" i="2"/>
  <c r="O39" i="2"/>
  <c r="O36" i="2"/>
  <c r="N36" i="2"/>
  <c r="M36" i="2"/>
  <c r="A39" i="2"/>
  <c r="A38" i="2"/>
  <c r="A37" i="2"/>
  <c r="A36" i="2"/>
  <c r="AF29" i="4"/>
  <c r="AE29" i="4"/>
  <c r="AE28" i="4"/>
  <c r="AE30" i="4"/>
  <c r="AE31" i="4"/>
  <c r="AG29" i="4"/>
  <c r="AH29" i="4"/>
  <c r="AF30" i="4"/>
  <c r="AG30" i="4"/>
  <c r="AH30" i="4"/>
  <c r="AF31" i="4"/>
  <c r="AG31" i="4"/>
  <c r="AH31" i="4"/>
  <c r="AI28" i="4"/>
  <c r="H37" i="3"/>
  <c r="I37" i="3"/>
  <c r="H38" i="3"/>
  <c r="I38" i="3"/>
  <c r="H40" i="3"/>
  <c r="J40" i="3"/>
  <c r="Q28" i="3"/>
  <c r="AJ28" i="4"/>
  <c r="AI29" i="4"/>
  <c r="H39" i="3"/>
  <c r="H41" i="3"/>
  <c r="J37" i="3"/>
  <c r="J39" i="3"/>
  <c r="I41" i="3"/>
  <c r="Q29" i="3"/>
  <c r="AJ29" i="4"/>
  <c r="AI30" i="4"/>
  <c r="H36" i="3"/>
  <c r="I36" i="3"/>
  <c r="J38" i="3"/>
  <c r="J41" i="3"/>
  <c r="Q30" i="3"/>
  <c r="AJ30" i="4"/>
  <c r="AI31" i="4"/>
  <c r="I39" i="3"/>
  <c r="I40" i="3"/>
  <c r="J36" i="3"/>
  <c r="Q31" i="3"/>
  <c r="AJ31" i="4"/>
  <c r="AL28" i="4"/>
  <c r="AM28" i="4"/>
  <c r="AN28" i="4"/>
  <c r="AO28" i="4"/>
  <c r="L30" i="2"/>
  <c r="AL29" i="4"/>
  <c r="AK29" i="4"/>
  <c r="AK28" i="4"/>
  <c r="AK30" i="4"/>
  <c r="AK31" i="4"/>
  <c r="AM29" i="4"/>
  <c r="AN29" i="4"/>
  <c r="AO29" i="4"/>
  <c r="L31" i="2"/>
  <c r="AL30" i="4"/>
  <c r="AM30" i="4"/>
  <c r="AN30" i="4"/>
  <c r="AO30" i="4"/>
  <c r="L32" i="2"/>
  <c r="AL31" i="4"/>
  <c r="AM31" i="4"/>
  <c r="AN31" i="4"/>
  <c r="AO31" i="4"/>
  <c r="L33" i="2"/>
  <c r="O31" i="2"/>
  <c r="O32" i="2"/>
  <c r="O33" i="2"/>
  <c r="O30" i="2"/>
  <c r="M33" i="2"/>
  <c r="N33" i="2"/>
  <c r="A33" i="2"/>
  <c r="M32" i="2"/>
  <c r="N32" i="2"/>
  <c r="A32" i="2"/>
  <c r="M31" i="2"/>
  <c r="N31" i="2"/>
  <c r="A31" i="2"/>
  <c r="A30" i="2"/>
  <c r="N30" i="2"/>
  <c r="M30" i="2"/>
  <c r="B22" i="4"/>
  <c r="C22" i="4"/>
  <c r="D22" i="4"/>
  <c r="D24" i="2"/>
  <c r="E22" i="4"/>
  <c r="F22" i="4"/>
  <c r="G22" i="4"/>
  <c r="E24" i="2"/>
  <c r="K24" i="2"/>
  <c r="B23" i="4"/>
  <c r="C23" i="4"/>
  <c r="D23" i="4"/>
  <c r="D25" i="2"/>
  <c r="E23" i="4"/>
  <c r="F23" i="4"/>
  <c r="G23" i="4"/>
  <c r="E25" i="2"/>
  <c r="K25" i="2"/>
  <c r="B24" i="4"/>
  <c r="C24" i="4"/>
  <c r="D24" i="4"/>
  <c r="D26" i="2"/>
  <c r="E24" i="4"/>
  <c r="F24" i="4"/>
  <c r="G24" i="4"/>
  <c r="E26" i="2"/>
  <c r="K26" i="2"/>
  <c r="B25" i="4"/>
  <c r="C25" i="4"/>
  <c r="D25" i="4"/>
  <c r="D27" i="2"/>
  <c r="E25" i="4"/>
  <c r="F25" i="4"/>
  <c r="G25" i="4"/>
  <c r="E27" i="2"/>
  <c r="K27" i="2"/>
  <c r="J22" i="4"/>
  <c r="J23" i="4"/>
  <c r="J24" i="4"/>
  <c r="J25" i="4"/>
  <c r="K22" i="4"/>
  <c r="G24" i="2"/>
  <c r="I24" i="2"/>
  <c r="J24" i="2"/>
  <c r="M22" i="3"/>
  <c r="L22" i="4"/>
  <c r="K23" i="4"/>
  <c r="G25" i="2"/>
  <c r="I25" i="2"/>
  <c r="J25" i="2"/>
  <c r="M23" i="3"/>
  <c r="L23" i="4"/>
  <c r="K24" i="4"/>
  <c r="G26" i="2"/>
  <c r="I26" i="2"/>
  <c r="J26" i="2"/>
  <c r="M24" i="3"/>
  <c r="L24" i="4"/>
  <c r="K25" i="4"/>
  <c r="G27" i="2"/>
  <c r="I27" i="2"/>
  <c r="J27" i="2"/>
  <c r="M25" i="3"/>
  <c r="L25" i="4"/>
  <c r="N22" i="4"/>
  <c r="O22" i="4"/>
  <c r="P22" i="4"/>
  <c r="N23" i="4"/>
  <c r="M23" i="4"/>
  <c r="M22" i="4"/>
  <c r="M24" i="4"/>
  <c r="M25" i="4"/>
  <c r="O23" i="4"/>
  <c r="P23" i="4"/>
  <c r="N24" i="4"/>
  <c r="O24" i="4"/>
  <c r="P24" i="4"/>
  <c r="N25" i="4"/>
  <c r="O25" i="4"/>
  <c r="P25" i="4"/>
  <c r="Q22" i="4"/>
  <c r="N22" i="3"/>
  <c r="R22" i="4"/>
  <c r="Q23" i="4"/>
  <c r="N23" i="3"/>
  <c r="R23" i="4"/>
  <c r="Q24" i="4"/>
  <c r="N24" i="3"/>
  <c r="R24" i="4"/>
  <c r="Q25" i="4"/>
  <c r="N25" i="3"/>
  <c r="R25" i="4"/>
  <c r="T22" i="4"/>
  <c r="U22" i="4"/>
  <c r="V22" i="4"/>
  <c r="T23" i="4"/>
  <c r="S23" i="4"/>
  <c r="S22" i="4"/>
  <c r="S24" i="4"/>
  <c r="S25" i="4"/>
  <c r="U23" i="4"/>
  <c r="V23" i="4"/>
  <c r="T24" i="4"/>
  <c r="U24" i="4"/>
  <c r="V24" i="4"/>
  <c r="T25" i="4"/>
  <c r="U25" i="4"/>
  <c r="V25" i="4"/>
  <c r="W22" i="4"/>
  <c r="D28" i="3"/>
  <c r="E28" i="3"/>
  <c r="D30" i="3"/>
  <c r="E30" i="3"/>
  <c r="D32" i="3"/>
  <c r="E32" i="3"/>
  <c r="O22" i="3"/>
  <c r="X22" i="4"/>
  <c r="W23" i="4"/>
  <c r="D31" i="3"/>
  <c r="E31" i="3"/>
  <c r="D33" i="3"/>
  <c r="E33" i="3"/>
  <c r="O23" i="3"/>
  <c r="X23" i="4"/>
  <c r="W24" i="4"/>
  <c r="D29" i="3"/>
  <c r="E29" i="3"/>
  <c r="O24" i="3"/>
  <c r="X24" i="4"/>
  <c r="W25" i="4"/>
  <c r="O25" i="3"/>
  <c r="X25" i="4"/>
  <c r="Z22" i="4"/>
  <c r="AA22" i="4"/>
  <c r="AB22" i="4"/>
  <c r="Z23" i="4"/>
  <c r="Y23" i="4"/>
  <c r="Y22" i="4"/>
  <c r="Y24" i="4"/>
  <c r="Y25" i="4"/>
  <c r="AA23" i="4"/>
  <c r="AB23" i="4"/>
  <c r="Z24" i="4"/>
  <c r="AA24" i="4"/>
  <c r="AB24" i="4"/>
  <c r="Z25" i="4"/>
  <c r="AA25" i="4"/>
  <c r="AB25" i="4"/>
  <c r="AC22" i="4"/>
  <c r="F28" i="3"/>
  <c r="G28" i="3"/>
  <c r="F30" i="3"/>
  <c r="G30" i="3"/>
  <c r="F32" i="3"/>
  <c r="G32" i="3"/>
  <c r="P22" i="3"/>
  <c r="AD22" i="4"/>
  <c r="AC23" i="4"/>
  <c r="F31" i="3"/>
  <c r="G31" i="3"/>
  <c r="F33" i="3"/>
  <c r="G33" i="3"/>
  <c r="P23" i="3"/>
  <c r="AD23" i="4"/>
  <c r="AC24" i="4"/>
  <c r="F29" i="3"/>
  <c r="G29" i="3"/>
  <c r="P24" i="3"/>
  <c r="AD24" i="4"/>
  <c r="AC25" i="4"/>
  <c r="P25" i="3"/>
  <c r="AD25" i="4"/>
  <c r="AF22" i="4"/>
  <c r="AG22" i="4"/>
  <c r="AH22" i="4"/>
  <c r="AF23" i="4"/>
  <c r="AE23" i="4"/>
  <c r="AE22" i="4"/>
  <c r="AE24" i="4"/>
  <c r="AE25" i="4"/>
  <c r="AG23" i="4"/>
  <c r="AH23" i="4"/>
  <c r="AF24" i="4"/>
  <c r="AG24" i="4"/>
  <c r="AH24" i="4"/>
  <c r="AF25" i="4"/>
  <c r="AG25" i="4"/>
  <c r="AH25" i="4"/>
  <c r="AI22" i="4"/>
  <c r="H28" i="3"/>
  <c r="I28" i="3"/>
  <c r="H30" i="3"/>
  <c r="I30" i="3"/>
  <c r="H32" i="3"/>
  <c r="J32" i="3"/>
  <c r="Q22" i="3"/>
  <c r="AJ22" i="4"/>
  <c r="AI23" i="4"/>
  <c r="H31" i="3"/>
  <c r="H33" i="3"/>
  <c r="J28" i="3"/>
  <c r="J31" i="3"/>
  <c r="I33" i="3"/>
  <c r="Q23" i="3"/>
  <c r="AJ23" i="4"/>
  <c r="AI24" i="4"/>
  <c r="H29" i="3"/>
  <c r="I29" i="3"/>
  <c r="J30" i="3"/>
  <c r="J33" i="3"/>
  <c r="Q24" i="3"/>
  <c r="AJ24" i="4"/>
  <c r="AI25" i="4"/>
  <c r="I31" i="3"/>
  <c r="I32" i="3"/>
  <c r="J29" i="3"/>
  <c r="Q25" i="3"/>
  <c r="AJ25" i="4"/>
  <c r="AL22" i="4"/>
  <c r="AM22" i="4"/>
  <c r="AN22" i="4"/>
  <c r="AO22" i="4"/>
  <c r="L24" i="2"/>
  <c r="AL23" i="4"/>
  <c r="AK23" i="4"/>
  <c r="AK22" i="4"/>
  <c r="AK24" i="4"/>
  <c r="AK25" i="4"/>
  <c r="AM23" i="4"/>
  <c r="AN23" i="4"/>
  <c r="AO23" i="4"/>
  <c r="L25" i="2"/>
  <c r="AL24" i="4"/>
  <c r="AM24" i="4"/>
  <c r="AN24" i="4"/>
  <c r="AO24" i="4"/>
  <c r="L26" i="2"/>
  <c r="AL25" i="4"/>
  <c r="AM25" i="4"/>
  <c r="AN25" i="4"/>
  <c r="AO25" i="4"/>
  <c r="L27" i="2"/>
  <c r="M27" i="2"/>
  <c r="N27" i="2"/>
  <c r="O27" i="2"/>
  <c r="A27" i="2"/>
  <c r="M26" i="2"/>
  <c r="N26" i="2"/>
  <c r="O26" i="2"/>
  <c r="A26" i="2"/>
  <c r="M25" i="2"/>
  <c r="N25" i="2"/>
  <c r="O25" i="2"/>
  <c r="A25" i="2"/>
  <c r="A24" i="2"/>
  <c r="O24" i="2"/>
  <c r="N24" i="2"/>
  <c r="M24" i="2"/>
  <c r="AA90" i="1"/>
  <c r="J90" i="1"/>
  <c r="W90" i="1"/>
  <c r="F90" i="1"/>
  <c r="W84" i="1"/>
  <c r="AA84" i="1"/>
  <c r="AA83" i="1"/>
  <c r="W83" i="1"/>
  <c r="AA77" i="1"/>
  <c r="V77" i="1"/>
  <c r="AA78" i="1"/>
  <c r="V78" i="1"/>
  <c r="V76" i="1"/>
  <c r="V75" i="1"/>
  <c r="AA75" i="1"/>
  <c r="C51" i="2"/>
  <c r="C50" i="2"/>
  <c r="C49" i="2"/>
  <c r="C48" i="2"/>
  <c r="C45" i="2"/>
  <c r="C44" i="2"/>
  <c r="C43" i="2"/>
  <c r="C42" i="2"/>
  <c r="C36" i="2"/>
  <c r="C39" i="2"/>
  <c r="C38" i="2"/>
  <c r="C37" i="2"/>
  <c r="C33" i="2"/>
  <c r="C32" i="2"/>
  <c r="C31" i="2"/>
  <c r="C30" i="2"/>
  <c r="C27" i="2"/>
  <c r="C26" i="2"/>
  <c r="C25" i="2"/>
  <c r="C24" i="2"/>
  <c r="C21" i="2"/>
  <c r="C20" i="2"/>
  <c r="C19" i="2"/>
  <c r="C18" i="2"/>
  <c r="C15" i="2"/>
  <c r="C14" i="2"/>
  <c r="C13" i="2"/>
  <c r="C12" i="2"/>
  <c r="C9" i="2"/>
  <c r="C8" i="2"/>
  <c r="C7" i="2"/>
  <c r="C6" i="2"/>
  <c r="F51" i="2"/>
  <c r="F49" i="2"/>
  <c r="F50" i="2"/>
  <c r="F48" i="2"/>
  <c r="N96" i="1"/>
  <c r="Y8" i="4"/>
  <c r="F39" i="2"/>
  <c r="F33" i="2"/>
  <c r="F21" i="2"/>
  <c r="F7" i="2"/>
  <c r="F18" i="2"/>
  <c r="F37" i="2"/>
  <c r="F30" i="2"/>
  <c r="F38" i="2"/>
  <c r="F12" i="2"/>
  <c r="F15" i="2"/>
  <c r="F13" i="2"/>
  <c r="F8" i="2"/>
  <c r="F25" i="2"/>
  <c r="F14" i="2"/>
  <c r="F27" i="2"/>
  <c r="F9" i="2"/>
  <c r="F6" i="2"/>
  <c r="F36" i="2"/>
  <c r="F19" i="2"/>
  <c r="F26" i="2"/>
  <c r="F24" i="2"/>
  <c r="F31" i="2"/>
  <c r="F20" i="2"/>
  <c r="F32" i="2"/>
  <c r="F43" i="2"/>
  <c r="F44" i="2"/>
  <c r="F42" i="2"/>
  <c r="F45" i="2"/>
  <c r="T7" i="1"/>
  <c r="W9" i="1"/>
  <c r="AE7" i="1"/>
  <c r="AC8" i="1"/>
  <c r="X8" i="1"/>
  <c r="AE9" i="1"/>
  <c r="Y9" i="1"/>
  <c r="AA10" i="1"/>
  <c r="AA7" i="1"/>
  <c r="AD9" i="1"/>
  <c r="AE8" i="1"/>
  <c r="V7" i="1"/>
  <c r="AA8" i="1"/>
  <c r="AE10" i="1"/>
  <c r="T9" i="1"/>
  <c r="AD10" i="1"/>
  <c r="Y10" i="1"/>
  <c r="AD7" i="1"/>
  <c r="Y8" i="1"/>
  <c r="X10" i="1"/>
  <c r="AC10" i="1"/>
  <c r="X7" i="1"/>
  <c r="C6" i="5"/>
  <c r="D6" i="5"/>
  <c r="X9" i="1"/>
  <c r="AD8" i="1"/>
  <c r="E6" i="5"/>
  <c r="AC7" i="1"/>
  <c r="W10" i="1"/>
  <c r="T8" i="1"/>
  <c r="T10" i="1"/>
  <c r="AA9" i="1"/>
  <c r="V8" i="1"/>
  <c r="V9" i="1"/>
  <c r="F6" i="5"/>
  <c r="W8" i="1"/>
  <c r="AC9" i="1"/>
  <c r="Y7" i="1"/>
  <c r="V10" i="1"/>
  <c r="W7" i="1"/>
  <c r="J76" i="1"/>
  <c r="F77" i="1"/>
  <c r="B5" i="6"/>
  <c r="D17" i="6"/>
  <c r="D6" i="6"/>
  <c r="D16" i="6"/>
  <c r="D9" i="6"/>
  <c r="D10" i="6"/>
  <c r="D18" i="6"/>
  <c r="D8" i="6"/>
  <c r="D7" i="6"/>
  <c r="D15" i="6"/>
  <c r="G8" i="1"/>
  <c r="J8" i="1"/>
  <c r="E7" i="1"/>
  <c r="N8" i="1"/>
  <c r="F5" i="5"/>
  <c r="C8" i="1"/>
  <c r="L8" i="1"/>
  <c r="F7" i="1"/>
  <c r="F8" i="1"/>
  <c r="L7" i="1"/>
  <c r="N9" i="1"/>
  <c r="E8" i="1"/>
  <c r="M8" i="1"/>
  <c r="D5" i="5"/>
  <c r="G7" i="1"/>
  <c r="G10" i="1"/>
  <c r="N10" i="1"/>
  <c r="F10" i="1"/>
  <c r="L9" i="1"/>
  <c r="H8" i="1"/>
  <c r="C10" i="1"/>
  <c r="C7" i="1"/>
  <c r="E9" i="1"/>
  <c r="C9" i="1"/>
  <c r="H10" i="1"/>
  <c r="F9" i="1"/>
  <c r="N7" i="1"/>
  <c r="M7" i="1"/>
  <c r="E5" i="5"/>
  <c r="J9" i="1"/>
  <c r="C5" i="5"/>
  <c r="J7" i="1"/>
  <c r="H7" i="1"/>
  <c r="E10" i="1"/>
  <c r="J10" i="1"/>
  <c r="L10" i="1"/>
  <c r="G9" i="1"/>
  <c r="M10" i="1"/>
  <c r="H9" i="1"/>
  <c r="M9" i="1"/>
  <c r="F76" i="1"/>
  <c r="J77" i="1"/>
  <c r="C7" i="6"/>
  <c r="C10" i="6"/>
  <c r="C9" i="6"/>
  <c r="D12" i="6"/>
  <c r="C6" i="6"/>
  <c r="D11" i="6"/>
  <c r="C13" i="6"/>
  <c r="C8" i="6"/>
  <c r="C14" i="6"/>
  <c r="D5" i="6"/>
  <c r="S42" i="4"/>
  <c r="S40" i="4"/>
  <c r="S43" i="4"/>
  <c r="S41" i="4"/>
  <c r="V26" i="1"/>
  <c r="X24" i="1"/>
  <c r="AE24" i="1"/>
  <c r="AD27" i="1"/>
  <c r="AD24" i="1"/>
  <c r="X27" i="1"/>
  <c r="X26" i="1"/>
  <c r="W26" i="1"/>
  <c r="T25" i="1"/>
  <c r="AE26" i="1"/>
  <c r="Y27" i="1"/>
  <c r="AA27" i="1"/>
  <c r="Y26" i="1"/>
  <c r="X25" i="1"/>
  <c r="E8" i="5"/>
  <c r="T26" i="1"/>
  <c r="AC27" i="1"/>
  <c r="AA25" i="1"/>
  <c r="AD25" i="1"/>
  <c r="AC24" i="1"/>
  <c r="AE25" i="1"/>
  <c r="D8" i="5"/>
  <c r="Y24" i="1"/>
  <c r="AE27" i="1"/>
  <c r="T27" i="1"/>
  <c r="T24" i="1"/>
  <c r="V27" i="1"/>
  <c r="AC25" i="1"/>
  <c r="V25" i="1"/>
  <c r="AA24" i="1"/>
  <c r="W25" i="1"/>
  <c r="Y25" i="1"/>
  <c r="V24" i="1"/>
  <c r="W27" i="1"/>
  <c r="C8" i="5"/>
  <c r="C5" i="6"/>
  <c r="AA26" i="1"/>
  <c r="F8" i="5"/>
  <c r="AD26" i="1"/>
  <c r="AC26" i="1"/>
  <c r="W24" i="1"/>
  <c r="C12" i="6"/>
  <c r="J75" i="1"/>
  <c r="C15" i="6"/>
  <c r="C18" i="6"/>
  <c r="E8" i="6"/>
  <c r="E14" i="6"/>
  <c r="C19" i="6"/>
  <c r="E9" i="6"/>
  <c r="C16" i="6"/>
  <c r="C11" i="6"/>
  <c r="F78" i="1"/>
  <c r="F42" i="1"/>
  <c r="E43" i="1"/>
  <c r="C42" i="1"/>
  <c r="M44" i="1"/>
  <c r="J44" i="1"/>
  <c r="C44" i="1"/>
  <c r="C41" i="1"/>
  <c r="N41" i="1"/>
  <c r="E9" i="5"/>
  <c r="E41" i="1"/>
  <c r="N42" i="1"/>
  <c r="E44" i="1"/>
  <c r="G44" i="1"/>
  <c r="L41" i="1"/>
  <c r="F41" i="1"/>
  <c r="C43" i="1"/>
  <c r="N43" i="1"/>
  <c r="H43" i="1"/>
  <c r="N44" i="1"/>
  <c r="J43" i="1"/>
  <c r="M41" i="1"/>
  <c r="F9" i="5"/>
  <c r="M43" i="1"/>
  <c r="M42" i="1"/>
  <c r="J41" i="1"/>
  <c r="L44" i="1"/>
  <c r="H41" i="1"/>
  <c r="L43" i="1"/>
  <c r="G43" i="1"/>
  <c r="G42" i="1"/>
  <c r="J42" i="1"/>
  <c r="D9" i="5"/>
  <c r="F43" i="1"/>
  <c r="H42" i="1"/>
  <c r="L42" i="1"/>
  <c r="C9" i="5"/>
  <c r="B11" i="6"/>
  <c r="G41" i="1"/>
  <c r="E42" i="1"/>
  <c r="H44" i="1"/>
  <c r="G61" i="1"/>
  <c r="F44" i="1"/>
  <c r="H25" i="1"/>
  <c r="L24" i="1"/>
  <c r="M24" i="1"/>
  <c r="E24" i="1"/>
  <c r="C24" i="1"/>
  <c r="F24" i="1"/>
  <c r="H24" i="1"/>
  <c r="J24" i="1"/>
  <c r="N24" i="1"/>
  <c r="M26" i="1"/>
  <c r="G24" i="1"/>
  <c r="G25" i="1"/>
  <c r="J25" i="1"/>
  <c r="N26" i="1"/>
  <c r="J27" i="1"/>
  <c r="H27" i="1"/>
  <c r="F7" i="5"/>
  <c r="G26" i="1"/>
  <c r="E26" i="1"/>
  <c r="J26" i="1"/>
  <c r="M25" i="1"/>
  <c r="E25" i="1"/>
  <c r="M27" i="1"/>
  <c r="F27" i="1"/>
  <c r="G27" i="1"/>
  <c r="C7" i="5"/>
  <c r="E11" i="6"/>
  <c r="C26" i="1"/>
  <c r="L25" i="1"/>
  <c r="C25" i="1"/>
  <c r="H26" i="1"/>
  <c r="F25" i="1"/>
  <c r="F26" i="1"/>
  <c r="C27" i="1"/>
  <c r="L27" i="1"/>
  <c r="N27" i="1"/>
  <c r="E7" i="5"/>
  <c r="E27" i="1"/>
  <c r="L26" i="1"/>
  <c r="D7" i="5"/>
  <c r="N25" i="1"/>
  <c r="B14" i="6"/>
  <c r="B15" i="6"/>
  <c r="E17" i="6"/>
  <c r="B19" i="6"/>
  <c r="B6" i="6"/>
  <c r="B8" i="6"/>
  <c r="F79" i="1"/>
  <c r="B13" i="6"/>
  <c r="E18" i="6"/>
  <c r="E10" i="6"/>
  <c r="J81" i="1"/>
  <c r="E16" i="6"/>
  <c r="C17" i="6"/>
  <c r="E7" i="6"/>
  <c r="E5" i="6"/>
  <c r="J78" i="1"/>
  <c r="F75" i="1"/>
  <c r="E19" i="6"/>
  <c r="E15" i="6"/>
  <c r="E13" i="6"/>
  <c r="E12" i="6"/>
  <c r="E6" i="6"/>
  <c r="Y43" i="1"/>
  <c r="Y42" i="1"/>
  <c r="AC41" i="1"/>
  <c r="AA41" i="1"/>
  <c r="D10" i="5"/>
  <c r="H8" i="5"/>
  <c r="Y44" i="1"/>
  <c r="AE42" i="1"/>
  <c r="T41" i="1"/>
  <c r="AE43" i="1"/>
  <c r="AC42" i="1"/>
  <c r="X44" i="1"/>
  <c r="Y41" i="1"/>
  <c r="W41" i="1"/>
  <c r="AA42" i="1"/>
  <c r="V42" i="1"/>
  <c r="T42" i="1"/>
  <c r="E10" i="5"/>
  <c r="AA44" i="1"/>
  <c r="V41" i="1"/>
  <c r="X43" i="1"/>
  <c r="AD42" i="1"/>
  <c r="AE41" i="1"/>
  <c r="AD41" i="1"/>
  <c r="W44" i="1"/>
  <c r="X41" i="1"/>
  <c r="V43" i="1"/>
  <c r="T43" i="1"/>
  <c r="X42" i="1"/>
  <c r="W42" i="1"/>
  <c r="W43" i="1"/>
  <c r="AC44" i="1"/>
  <c r="AA43" i="1"/>
  <c r="AD44" i="1"/>
  <c r="V44" i="1"/>
  <c r="F81" i="1"/>
  <c r="AE44" i="1"/>
  <c r="T44" i="1"/>
  <c r="C10" i="5"/>
  <c r="F10" i="5"/>
  <c r="AD43" i="1"/>
  <c r="AC43" i="1"/>
  <c r="D19" i="6"/>
  <c r="D14" i="6"/>
  <c r="H7" i="5"/>
  <c r="H9" i="5"/>
  <c r="H6" i="5"/>
  <c r="H5" i="5"/>
  <c r="H10" i="5"/>
  <c r="B12" i="6"/>
  <c r="D13" i="6"/>
  <c r="B17" i="6"/>
  <c r="B16" i="6"/>
  <c r="B10" i="6"/>
  <c r="B7" i="6"/>
  <c r="J79" i="1"/>
  <c r="B18" i="6"/>
  <c r="B9" i="6"/>
  <c r="I2" i="5"/>
  <c r="J2" i="5"/>
  <c r="K2" i="5"/>
  <c r="I9" i="5"/>
  <c r="J9" i="5"/>
  <c r="I8" i="5"/>
  <c r="L8" i="5"/>
  <c r="I7" i="5"/>
  <c r="O7" i="5"/>
  <c r="I5" i="5"/>
  <c r="I6" i="5"/>
  <c r="I10" i="5"/>
  <c r="J10" i="5"/>
  <c r="L9" i="5"/>
  <c r="K9" i="5"/>
  <c r="L7" i="5"/>
  <c r="L5" i="5"/>
  <c r="L6" i="5"/>
  <c r="L10" i="5"/>
  <c r="O8" i="5"/>
  <c r="K8" i="5"/>
  <c r="J8" i="5"/>
  <c r="K7" i="5"/>
  <c r="J7" i="5"/>
  <c r="J5" i="5"/>
  <c r="N5" i="5"/>
  <c r="K5" i="5"/>
  <c r="O5" i="5"/>
  <c r="O6" i="5"/>
  <c r="K6" i="5"/>
  <c r="J6" i="5"/>
  <c r="O10" i="5"/>
  <c r="K10" i="5"/>
  <c r="M6" i="5"/>
  <c r="N8" i="5"/>
  <c r="M10" i="5"/>
  <c r="N6" i="5"/>
  <c r="M5" i="5"/>
  <c r="P5" i="5"/>
  <c r="M8" i="5"/>
  <c r="M7" i="5"/>
  <c r="M9" i="5"/>
  <c r="O9" i="5"/>
  <c r="N9" i="5"/>
  <c r="N10" i="5"/>
  <c r="N7" i="5"/>
  <c r="P6" i="5"/>
  <c r="P8" i="5"/>
  <c r="P10" i="5"/>
  <c r="P7" i="5"/>
  <c r="P9" i="5"/>
  <c r="Q2" i="5"/>
  <c r="R2" i="5"/>
  <c r="S2" i="5"/>
  <c r="Q9" i="5"/>
  <c r="T9" i="5"/>
  <c r="Q6" i="5"/>
  <c r="R6" i="5"/>
  <c r="Q8" i="5"/>
  <c r="R8" i="5"/>
  <c r="Q5" i="5"/>
  <c r="V5" i="5"/>
  <c r="Q10" i="5"/>
  <c r="R10" i="5"/>
  <c r="Q7" i="5"/>
  <c r="S7" i="5"/>
  <c r="S9" i="5"/>
  <c r="T10" i="5"/>
  <c r="R9" i="5"/>
  <c r="S10" i="5"/>
  <c r="S8" i="5"/>
  <c r="T8" i="5"/>
  <c r="T5" i="5"/>
  <c r="T6" i="5"/>
  <c r="T7" i="5"/>
  <c r="W8" i="5"/>
  <c r="W9" i="5"/>
  <c r="S6" i="5"/>
  <c r="S5" i="5"/>
  <c r="V6" i="5"/>
  <c r="W6" i="5"/>
  <c r="R5" i="5"/>
  <c r="R7" i="5"/>
  <c r="W7" i="5"/>
  <c r="W5" i="5"/>
  <c r="W10" i="5"/>
  <c r="V8" i="5"/>
  <c r="V7" i="5"/>
  <c r="U7" i="5"/>
  <c r="V9" i="5"/>
  <c r="U5" i="5"/>
  <c r="X5" i="5"/>
  <c r="V10" i="5"/>
  <c r="U8" i="5"/>
  <c r="U6" i="5"/>
  <c r="X6" i="5"/>
  <c r="U9" i="5"/>
  <c r="U10" i="5"/>
  <c r="X8" i="5"/>
  <c r="X10" i="5"/>
  <c r="X7" i="5"/>
  <c r="X9" i="5"/>
  <c r="A10" i="5"/>
  <c r="A5" i="5"/>
  <c r="A6" i="5"/>
  <c r="A9" i="5"/>
  <c r="A7" i="5"/>
  <c r="A8" i="5"/>
  <c r="B18" i="5"/>
  <c r="B20" i="5"/>
  <c r="B19" i="5"/>
  <c r="B21" i="5"/>
  <c r="A20" i="5" a="1"/>
  <c r="A20" i="5"/>
  <c r="A21" i="5" a="1"/>
  <c r="A21" i="5"/>
  <c r="A18" i="5" a="1"/>
  <c r="A18" i="5"/>
  <c r="A19" i="5" a="1"/>
  <c r="A19" i="5"/>
  <c r="C20" i="5"/>
  <c r="C19" i="5"/>
  <c r="C18" i="5"/>
  <c r="C21" i="5"/>
  <c r="E18" i="5"/>
  <c r="J60" i="1"/>
  <c r="L60" i="1"/>
  <c r="H60" i="1"/>
  <c r="G59" i="1"/>
  <c r="F59" i="1"/>
  <c r="E59" i="1"/>
  <c r="N59" i="1"/>
  <c r="M59" i="1"/>
  <c r="L59" i="1"/>
  <c r="J59" i="1"/>
  <c r="H59" i="1"/>
  <c r="G58" i="1"/>
  <c r="F58" i="1"/>
  <c r="E58" i="1"/>
  <c r="N58" i="1"/>
  <c r="M58" i="1"/>
  <c r="L58" i="1"/>
  <c r="J58" i="1"/>
  <c r="H58" i="1"/>
  <c r="F61" i="1"/>
  <c r="E61" i="1"/>
  <c r="N61" i="1"/>
  <c r="M61" i="1"/>
  <c r="L61" i="1"/>
  <c r="J61" i="1"/>
  <c r="H61" i="1"/>
  <c r="G60" i="1"/>
  <c r="F60" i="1"/>
  <c r="E60" i="1"/>
  <c r="C59" i="1"/>
  <c r="C61" i="1"/>
  <c r="C58" i="1"/>
  <c r="C60" i="1"/>
  <c r="N60" i="1"/>
  <c r="M60" i="1"/>
  <c r="J82" i="1"/>
  <c r="F80" i="1"/>
  <c r="AA76" i="1"/>
  <c r="W58" i="1"/>
  <c r="AD58" i="1"/>
  <c r="T58" i="1"/>
  <c r="AE58" i="1"/>
  <c r="Y58" i="1"/>
  <c r="AA58" i="1"/>
  <c r="V59" i="1"/>
  <c r="T61" i="1"/>
  <c r="X61" i="1"/>
  <c r="AE59" i="1"/>
  <c r="AD61" i="1"/>
  <c r="Y61" i="1"/>
  <c r="T59" i="1"/>
  <c r="AD60" i="1"/>
  <c r="Y59" i="1"/>
  <c r="AA59" i="1"/>
  <c r="X59" i="1"/>
  <c r="V60" i="1"/>
  <c r="W59" i="1"/>
  <c r="W61" i="1"/>
  <c r="AA61" i="1"/>
  <c r="Y60" i="1"/>
  <c r="AE61" i="1"/>
  <c r="X60" i="1"/>
  <c r="X58" i="1"/>
  <c r="V58" i="1"/>
  <c r="AE60" i="1"/>
  <c r="T60" i="1"/>
  <c r="AA60" i="1"/>
  <c r="AC60" i="1"/>
  <c r="AC58" i="1"/>
  <c r="W60" i="1"/>
  <c r="AC61" i="1"/>
  <c r="AC59" i="1"/>
  <c r="V61" i="1"/>
  <c r="AD59" i="1"/>
  <c r="J80" i="1"/>
  <c r="F82" i="1"/>
</calcChain>
</file>

<file path=xl/sharedStrings.xml><?xml version="1.0" encoding="utf-8"?>
<sst xmlns="http://schemas.openxmlformats.org/spreadsheetml/2006/main" count="1118" uniqueCount="242">
  <si>
    <t>Gruppe A - Tabelle</t>
  </si>
  <si>
    <t>Gruppe B - Tabelle</t>
  </si>
  <si>
    <t>Land</t>
  </si>
  <si>
    <t>G</t>
  </si>
  <si>
    <t>S</t>
  </si>
  <si>
    <t>U</t>
  </si>
  <si>
    <t xml:space="preserve">   N</t>
  </si>
  <si>
    <t>Tore</t>
  </si>
  <si>
    <t>Diff</t>
  </si>
  <si>
    <t>Punkte</t>
  </si>
  <si>
    <t>1.</t>
  </si>
  <si>
    <t>Frankreich</t>
  </si>
  <si>
    <t>:</t>
  </si>
  <si>
    <t>2.</t>
  </si>
  <si>
    <t>3.</t>
  </si>
  <si>
    <t>Schweiz</t>
  </si>
  <si>
    <t>Russland</t>
  </si>
  <si>
    <t>4.</t>
  </si>
  <si>
    <t>England</t>
  </si>
  <si>
    <t>Gruppe A - Spielplan</t>
  </si>
  <si>
    <t>Gruppe B - Spielplan</t>
  </si>
  <si>
    <t>Spiel</t>
  </si>
  <si>
    <t>Datum</t>
  </si>
  <si>
    <t>Zeit</t>
  </si>
  <si>
    <t>Mannschaften</t>
  </si>
  <si>
    <t>Gruppe C - Tabelle</t>
  </si>
  <si>
    <t>Gruppe D - Tabelle</t>
  </si>
  <si>
    <t>Deutschland</t>
  </si>
  <si>
    <t>Spanien</t>
  </si>
  <si>
    <t>Polen</t>
  </si>
  <si>
    <t>Kroatien</t>
  </si>
  <si>
    <t>Gruppe C - Spielplan</t>
  </si>
  <si>
    <t>Gruppe D - Spielplan</t>
  </si>
  <si>
    <t>Gruppe E - Tabelle</t>
  </si>
  <si>
    <t>Gruppe F - Tabelle</t>
  </si>
  <si>
    <t>Belgien</t>
  </si>
  <si>
    <t>Island</t>
  </si>
  <si>
    <t>Schweden</t>
  </si>
  <si>
    <t>Portugal</t>
  </si>
  <si>
    <t>Gruppe E - Spielplan</t>
  </si>
  <si>
    <t>Gruppe F - Spielplan</t>
  </si>
  <si>
    <t>Tabelle der Dritten</t>
  </si>
  <si>
    <t>Achtelfinale</t>
  </si>
  <si>
    <t>Gruppe</t>
  </si>
  <si>
    <t>D</t>
  </si>
  <si>
    <t>F</t>
  </si>
  <si>
    <t>C</t>
  </si>
  <si>
    <t>E</t>
  </si>
  <si>
    <t>A</t>
  </si>
  <si>
    <t>B</t>
  </si>
  <si>
    <t>Viertelfinale</t>
  </si>
  <si>
    <t>Halbfinale</t>
  </si>
  <si>
    <t>Finale</t>
  </si>
  <si>
    <t>Berechnung der Gruppentabellen</t>
  </si>
  <si>
    <t>Gruppe A</t>
  </si>
  <si>
    <t>Order</t>
  </si>
  <si>
    <t>Rang</t>
  </si>
  <si>
    <t>Gruppe B</t>
  </si>
  <si>
    <t>Gruppe C</t>
  </si>
  <si>
    <t>Gruppe D</t>
  </si>
  <si>
    <t>Gruppe E</t>
  </si>
  <si>
    <t>Gruppe F</t>
  </si>
  <si>
    <t>Direktspiele (zur Berechnung der Ränge)</t>
  </si>
  <si>
    <t>Flag_Punkte</t>
  </si>
  <si>
    <t>P_dir</t>
  </si>
  <si>
    <t>Flag_Diff</t>
  </si>
  <si>
    <t>Diff_dir</t>
  </si>
  <si>
    <t>Flag_Tore</t>
  </si>
  <si>
    <t>F1</t>
  </si>
  <si>
    <t>F2</t>
  </si>
  <si>
    <t>P_dir_ges</t>
  </si>
  <si>
    <t>Diff_dir_ges</t>
  </si>
  <si>
    <t>Tore_dir_ges</t>
  </si>
  <si>
    <t>Diff_ges</t>
  </si>
  <si>
    <t>Tore_ges</t>
  </si>
  <si>
    <t>Kriterien</t>
  </si>
  <si>
    <t>Gewinn</t>
  </si>
  <si>
    <t>Gleich</t>
  </si>
  <si>
    <t>Berechnung der Ränge</t>
  </si>
  <si>
    <t>Spiel 1</t>
  </si>
  <si>
    <t>Spiel 2</t>
  </si>
  <si>
    <t>Spiel 3</t>
  </si>
  <si>
    <t>1. Kriterium</t>
  </si>
  <si>
    <t>Flag_1</t>
  </si>
  <si>
    <t>Punkte_1</t>
  </si>
  <si>
    <t>Punkte_2</t>
  </si>
  <si>
    <t>Rang(Punkte_1)</t>
  </si>
  <si>
    <t>Rang(Punkte_2)</t>
  </si>
  <si>
    <t>2. Kriterium</t>
  </si>
  <si>
    <t>Flag_2</t>
  </si>
  <si>
    <t>Diff_1</t>
  </si>
  <si>
    <t>Diff_2</t>
  </si>
  <si>
    <t>Rang(Diff_1)</t>
  </si>
  <si>
    <t>Rang(Diff_2)</t>
  </si>
  <si>
    <t>3. Kriterium</t>
  </si>
  <si>
    <t>Flag_3</t>
  </si>
  <si>
    <t>Tore_1</t>
  </si>
  <si>
    <t>Tore_2</t>
  </si>
  <si>
    <t>Rang(Tore_1)</t>
  </si>
  <si>
    <t>Rang(Tore_2)</t>
  </si>
  <si>
    <t>4. Kriterium</t>
  </si>
  <si>
    <t>Flag_4</t>
  </si>
  <si>
    <t>Diff_ges_1</t>
  </si>
  <si>
    <t>Diff_ges_2</t>
  </si>
  <si>
    <t>Rang(Diff_ges)</t>
  </si>
  <si>
    <t>Rang(diff_ges)</t>
  </si>
  <si>
    <t>5. Kriterium</t>
  </si>
  <si>
    <t>Flag_5</t>
  </si>
  <si>
    <t>Tor_ges_1</t>
  </si>
  <si>
    <t>Tor_ges_2</t>
  </si>
  <si>
    <t>Rang(Tor_ges_1)</t>
  </si>
  <si>
    <t>Rang(Tor_ges_2)</t>
  </si>
  <si>
    <t>6.Kriterium</t>
  </si>
  <si>
    <t>Finaler Rang</t>
  </si>
  <si>
    <t>1. Portugal</t>
  </si>
  <si>
    <t>2. Island</t>
  </si>
  <si>
    <t>Werte:</t>
  </si>
  <si>
    <t>1.Kriterium</t>
  </si>
  <si>
    <t>Diff_3</t>
  </si>
  <si>
    <t>Rang(Diff1)</t>
  </si>
  <si>
    <t>Rang(Diff2)</t>
  </si>
  <si>
    <t>Rang(Diff3)</t>
  </si>
  <si>
    <t>2.Kriterium</t>
  </si>
  <si>
    <t>Tore_3</t>
  </si>
  <si>
    <t>Rang(Tore1)</t>
  </si>
  <si>
    <t>Rang(Tore2)</t>
  </si>
  <si>
    <t>Rang(Tore3)</t>
  </si>
  <si>
    <t>Beste Kombi:</t>
  </si>
  <si>
    <t>Tabelle der Dritten 2</t>
  </si>
  <si>
    <t>Kombination</t>
  </si>
  <si>
    <t>Spiel 4</t>
  </si>
  <si>
    <t>ABCD</t>
  </si>
  <si>
    <t>ABCE</t>
  </si>
  <si>
    <t>ABCF</t>
  </si>
  <si>
    <t>ABDE</t>
  </si>
  <si>
    <t>ABDF</t>
  </si>
  <si>
    <t>ABEF</t>
  </si>
  <si>
    <t>ACDE</t>
  </si>
  <si>
    <t>ACDF</t>
  </si>
  <si>
    <t>ACEF</t>
  </si>
  <si>
    <t>ADEF</t>
  </si>
  <si>
    <t>BCDE</t>
  </si>
  <si>
    <t>BCDF</t>
  </si>
  <si>
    <t>BCEF</t>
  </si>
  <si>
    <t>BDEF</t>
  </si>
  <si>
    <t>CDEF</t>
  </si>
  <si>
    <t>Saudi-Arabien</t>
  </si>
  <si>
    <t>Ägypten</t>
  </si>
  <si>
    <t>Uruguay</t>
  </si>
  <si>
    <t>Marokko</t>
  </si>
  <si>
    <t>Iran</t>
  </si>
  <si>
    <t>Australien</t>
  </si>
  <si>
    <t>Peru</t>
  </si>
  <si>
    <t>Dänemark</t>
  </si>
  <si>
    <t>Argentinien</t>
  </si>
  <si>
    <t>Nigeria</t>
  </si>
  <si>
    <t>Brasilien</t>
  </si>
  <si>
    <t>Costa Rica</t>
  </si>
  <si>
    <t>Serbien</t>
  </si>
  <si>
    <t>Mexiko</t>
  </si>
  <si>
    <t>Südkorea</t>
  </si>
  <si>
    <t>Gruppe G</t>
  </si>
  <si>
    <t>Gruppe H</t>
  </si>
  <si>
    <t>Panama</t>
  </si>
  <si>
    <t>Tunesien</t>
  </si>
  <si>
    <t>Senegal</t>
  </si>
  <si>
    <t>Kolumbien</t>
  </si>
  <si>
    <t>Japan</t>
  </si>
  <si>
    <t>Gruppe G - Tabelle</t>
  </si>
  <si>
    <t>Gruppe G - Spielplan</t>
  </si>
  <si>
    <t>Argentien</t>
  </si>
  <si>
    <t>14.Juni</t>
  </si>
  <si>
    <t>15.Juni</t>
  </si>
  <si>
    <t>19.Juni</t>
  </si>
  <si>
    <t>20.Juni</t>
  </si>
  <si>
    <t>25.Juni</t>
  </si>
  <si>
    <t>17.Juni</t>
  </si>
  <si>
    <t>22.Juni</t>
  </si>
  <si>
    <t>27.Juni</t>
  </si>
  <si>
    <t>18.Juni</t>
  </si>
  <si>
    <t>23.Juni</t>
  </si>
  <si>
    <t>28.Juni</t>
  </si>
  <si>
    <t>24.Juni</t>
  </si>
  <si>
    <t>1. Russland</t>
  </si>
  <si>
    <t>2. Saudi-Arabien</t>
  </si>
  <si>
    <t>3. Ägypten</t>
  </si>
  <si>
    <t>4. Uruguay</t>
  </si>
  <si>
    <t>1.höhere Punktzahl - gesamt</t>
  </si>
  <si>
    <t>2. Tordiff gesamt</t>
  </si>
  <si>
    <t>3. Tore gesamt</t>
  </si>
  <si>
    <t>4. höhere Punktzahl - direkt</t>
  </si>
  <si>
    <t>5. Tordiff direkt</t>
  </si>
  <si>
    <t>6.Tore direkt</t>
  </si>
  <si>
    <t>16.Juni</t>
  </si>
  <si>
    <t>21.Juni</t>
  </si>
  <si>
    <t>26.Juni</t>
  </si>
  <si>
    <t>Deutsch</t>
  </si>
  <si>
    <t>Tore gesamt</t>
  </si>
  <si>
    <t>done</t>
  </si>
  <si>
    <t>2. Spanien</t>
  </si>
  <si>
    <t>3. Marokko</t>
  </si>
  <si>
    <t>4. Iran</t>
  </si>
  <si>
    <t>1. Frankreich</t>
  </si>
  <si>
    <t>2. Australien</t>
  </si>
  <si>
    <t>3. Peru</t>
  </si>
  <si>
    <t>4. Dänemark</t>
  </si>
  <si>
    <t>1. Argentinien</t>
  </si>
  <si>
    <t>3. Kroatien</t>
  </si>
  <si>
    <t>4. Nigeria</t>
  </si>
  <si>
    <t>1. Brasilien</t>
  </si>
  <si>
    <t>2. Schweiz</t>
  </si>
  <si>
    <t>3. Costa Rica</t>
  </si>
  <si>
    <t>4. Serbien</t>
  </si>
  <si>
    <t>1. Deutschland</t>
  </si>
  <si>
    <t>2. Mexiko</t>
  </si>
  <si>
    <t>3. Schweden</t>
  </si>
  <si>
    <t>4. Südkorea</t>
  </si>
  <si>
    <t>1. Belgien</t>
  </si>
  <si>
    <t>2. Panama</t>
  </si>
  <si>
    <t>3. Tunesien</t>
  </si>
  <si>
    <t>4. England</t>
  </si>
  <si>
    <t>1. Polen</t>
  </si>
  <si>
    <t>2. Senegal</t>
  </si>
  <si>
    <t>3. Kolumbien</t>
  </si>
  <si>
    <t>4. Japan</t>
  </si>
  <si>
    <t>30.Juni</t>
  </si>
  <si>
    <t>1.Juli</t>
  </si>
  <si>
    <t>2.Juli</t>
  </si>
  <si>
    <t>3.Juli</t>
  </si>
  <si>
    <t>Gruppe H - Tabelle</t>
  </si>
  <si>
    <t>Gruppe H - Spielplan</t>
  </si>
  <si>
    <t>6.Juli</t>
  </si>
  <si>
    <t>7.Juli</t>
  </si>
  <si>
    <t>10.Juli</t>
  </si>
  <si>
    <t>11.Juli</t>
  </si>
  <si>
    <t>14.Juli</t>
  </si>
  <si>
    <t>15.Juli</t>
  </si>
  <si>
    <t>Spiel um den Dritten</t>
  </si>
  <si>
    <t>Weltmeister</t>
  </si>
  <si>
    <t>1'</t>
  </si>
  <si>
    <t>2'</t>
  </si>
  <si>
    <t>3'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</si>
</sst>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h&quot;:&quot;mm;@"/>
    <numFmt numFmtId="165" formatCode="dd&quot;.&quot;mm&quot;.&quot;yyyy"/>
    <numFmt numFmtId="166" formatCode="hh&quot;:&quot;mm"/>
    <numFmt numFmtId="167" formatCode="[$-407]h&quot;:&quot;mm&quot;:&quot;ss&quot; &quot;AM/PM"/>
    <numFmt numFmtId="168" formatCode="h:mm;@"/>
  </numFmts>
  <fonts count="19" x14ac:knownFonts="1">
    <font>
      <sz val="11"/>
      <color rgb="FF000000"/>
      <name val="Calibri"/>
      <family val="2"/>
    </font>
    <font>
      <sz val="11"/>
      <color rgb="FF006100"/>
      <name val="Calibri"/>
      <family val="2"/>
    </font>
    <font>
      <b/>
      <sz val="16"/>
      <color rgb="FFFFFFFF"/>
      <name val="Calibri"/>
      <family val="2"/>
    </font>
    <font>
      <b/>
      <sz val="11"/>
      <color rgb="FF000000"/>
      <name val="Calibri"/>
      <family val="2"/>
    </font>
    <font>
      <sz val="10"/>
      <color rgb="FF333333"/>
      <name val="Verdana"/>
      <family val="2"/>
    </font>
    <font>
      <b/>
      <sz val="11"/>
      <color rgb="FFBDD7EE"/>
      <name val="Calibri"/>
      <family val="2"/>
    </font>
    <font>
      <b/>
      <sz val="16"/>
      <color rgb="FFFF0000"/>
      <name val="Calibri"/>
      <family val="2"/>
    </font>
    <font>
      <sz val="11"/>
      <color rgb="FF666666"/>
      <name val="Arial"/>
      <family val="2"/>
    </font>
    <font>
      <sz val="11"/>
      <color rgb="FF464646"/>
      <name val="Arial"/>
      <family val="2"/>
    </font>
    <font>
      <b/>
      <sz val="14"/>
      <color theme="4" tint="-0.499984740745262"/>
      <name val="Verdana"/>
      <family val="2"/>
    </font>
    <font>
      <u/>
      <sz val="11"/>
      <color theme="10"/>
      <name val="Calibri"/>
      <family val="2"/>
    </font>
    <font>
      <sz val="11"/>
      <color theme="0"/>
      <name val="Calibri"/>
      <family val="2"/>
    </font>
    <font>
      <u/>
      <sz val="11"/>
      <color theme="0"/>
      <name val="Calibri"/>
      <family val="2"/>
    </font>
    <font>
      <sz val="11"/>
      <color rgb="FF000000"/>
      <name val="Britannic Bold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Source Sans Pro"/>
      <family val="2"/>
    </font>
    <font>
      <b/>
      <sz val="16"/>
      <color theme="0"/>
      <name val="Verdana"/>
      <family val="2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C6EFCE"/>
        <bgColor rgb="FFC6EFCE"/>
      </patternFill>
    </fill>
    <fill>
      <patternFill patternType="solid">
        <fgColor rgb="FFFFFFFF"/>
        <bgColor rgb="FFFFFFFF"/>
      </patternFill>
    </fill>
    <fill>
      <patternFill patternType="solid">
        <fgColor rgb="FFFFCCCC"/>
        <bgColor rgb="FFFFCCCC"/>
      </patternFill>
    </fill>
    <fill>
      <patternFill patternType="solid">
        <fgColor rgb="FFA6A6A6"/>
        <bgColor rgb="FFA6A6A6"/>
      </patternFill>
    </fill>
    <fill>
      <patternFill patternType="solid">
        <fgColor rgb="FFF2F2F2"/>
        <bgColor rgb="FFF2F2F2"/>
      </patternFill>
    </fill>
    <fill>
      <patternFill patternType="solid">
        <fgColor rgb="FFFFF2CC"/>
        <bgColor rgb="FFFFF2CC"/>
      </patternFill>
    </fill>
    <fill>
      <patternFill patternType="solid">
        <fgColor rgb="FFFF0000"/>
        <bgColor rgb="FFFF0000"/>
      </patternFill>
    </fill>
    <fill>
      <patternFill patternType="solid">
        <fgColor rgb="FFF8CBAD"/>
        <bgColor rgb="FFF8CBAD"/>
      </patternFill>
    </fill>
    <fill>
      <patternFill patternType="solid">
        <fgColor theme="0"/>
        <bgColor rgb="FFBDD7E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FCCCC"/>
      </patternFill>
    </fill>
    <fill>
      <patternFill patternType="solid">
        <fgColor rgb="FFFF0000"/>
        <bgColor rgb="FF003399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C00000"/>
      </patternFill>
    </fill>
    <fill>
      <patternFill patternType="solid">
        <fgColor rgb="FFFF0000"/>
        <bgColor rgb="FFFFCCCC"/>
      </patternFill>
    </fill>
    <fill>
      <patternFill patternType="solid">
        <fgColor rgb="FFFF0000"/>
        <bgColor rgb="FFBDD7EE"/>
      </patternFill>
    </fill>
    <fill>
      <patternFill patternType="solid">
        <fgColor rgb="FFFF0000"/>
        <bgColor rgb="FFFFFFFF"/>
      </patternFill>
    </fill>
    <fill>
      <patternFill patternType="solid">
        <fgColor theme="4" tint="0.39997558519241921"/>
        <bgColor rgb="FFBDD7EE"/>
      </patternFill>
    </fill>
    <fill>
      <patternFill patternType="solid">
        <fgColor theme="4" tint="0.39997558519241921"/>
        <bgColor rgb="FFFFFFFF"/>
      </patternFill>
    </fill>
    <fill>
      <patternFill patternType="solid">
        <fgColor theme="4" tint="0.39997558519241921"/>
        <bgColor rgb="FFFFCCCC"/>
      </patternFill>
    </fill>
    <fill>
      <patternFill patternType="solid">
        <fgColor theme="0" tint="-4.9989318521683403E-2"/>
        <bgColor rgb="FFBDD7EE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rgb="FFFFCCCC"/>
      </patternFill>
    </fill>
    <fill>
      <patternFill patternType="solid">
        <fgColor rgb="FFFFCCCC"/>
        <bgColor rgb="FFFFFFFF"/>
      </patternFill>
    </fill>
    <fill>
      <patternFill patternType="solid">
        <fgColor rgb="FFFFCCCC"/>
        <bgColor rgb="FFBDD7EE"/>
      </patternFill>
    </fill>
  </fills>
  <borders count="28">
    <border>
      <left/>
      <right/>
      <top/>
      <bottom/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medium">
        <color rgb="FFA6A6A6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/>
      <diagonal/>
    </border>
    <border>
      <left style="medium">
        <color rgb="FFA6A6A6"/>
      </left>
      <right/>
      <top style="medium">
        <color rgb="FFA6A6A6"/>
      </top>
      <bottom/>
      <diagonal/>
    </border>
    <border>
      <left/>
      <right/>
      <top style="medium">
        <color rgb="FFA6A6A6"/>
      </top>
      <bottom/>
      <diagonal/>
    </border>
    <border>
      <left/>
      <right style="medium">
        <color rgb="FFA6A6A6"/>
      </right>
      <top style="medium">
        <color rgb="FFA6A6A6"/>
      </top>
      <bottom/>
      <diagonal/>
    </border>
    <border>
      <left style="medium">
        <color rgb="FFA6A6A6"/>
      </left>
      <right/>
      <top/>
      <bottom/>
      <diagonal/>
    </border>
    <border>
      <left/>
      <right style="medium">
        <color rgb="FFA6A6A6"/>
      </right>
      <top/>
      <bottom/>
      <diagonal/>
    </border>
    <border>
      <left style="medium">
        <color rgb="FFA6A6A6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medium">
        <color rgb="FFA6A6A6"/>
      </right>
      <top/>
      <bottom style="thin">
        <color rgb="FFBFBFBF"/>
      </bottom>
      <diagonal/>
    </border>
    <border>
      <left style="medium">
        <color rgb="FFA6A6A6"/>
      </left>
      <right/>
      <top style="thin">
        <color rgb="FFBFBFBF"/>
      </top>
      <bottom style="thin">
        <color rgb="FFBFBFBF"/>
      </bottom>
      <diagonal/>
    </border>
    <border>
      <left/>
      <right style="medium">
        <color rgb="FFA6A6A6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medium">
        <color rgb="FFA6A6A6"/>
      </left>
      <right/>
      <top/>
      <bottom style="medium">
        <color rgb="FFA6A6A6"/>
      </bottom>
      <diagonal/>
    </border>
    <border>
      <left/>
      <right/>
      <top/>
      <bottom style="medium">
        <color rgb="FFA6A6A6"/>
      </bottom>
      <diagonal/>
    </border>
    <border>
      <left/>
      <right style="medium">
        <color rgb="FFA6A6A6"/>
      </right>
      <top/>
      <bottom style="medium">
        <color rgb="FFA6A6A6"/>
      </bottom>
      <diagonal/>
    </border>
    <border>
      <left/>
      <right/>
      <top style="thin">
        <color rgb="FFBFBFBF"/>
      </top>
      <bottom style="medium">
        <color rgb="FFA6A6A6"/>
      </bottom>
      <diagonal/>
    </border>
    <border>
      <left/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/>
      <right/>
      <top/>
      <bottom style="thin">
        <color rgb="FF000000"/>
      </bottom>
      <diagonal/>
    </border>
    <border>
      <left style="medium">
        <color rgb="FFA6A6A6"/>
      </left>
      <right style="medium">
        <color rgb="FFA6A6A6"/>
      </right>
      <top/>
      <bottom/>
      <diagonal/>
    </border>
    <border>
      <left/>
      <right style="thin">
        <color rgb="FFA6A6A6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rgb="FFA6A6A6"/>
      </left>
      <right style="medium">
        <color rgb="FFA6A6A6"/>
      </right>
      <top style="medium">
        <color rgb="FFA6A6A6"/>
      </top>
      <bottom style="medium">
        <color theme="0" tint="-0.34998626667073579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308">
    <xf numFmtId="0" fontId="0" fillId="0" borderId="0" xfId="0"/>
    <xf numFmtId="0" fontId="0" fillId="4" borderId="0" xfId="0" applyFill="1"/>
    <xf numFmtId="0" fontId="3" fillId="4" borderId="0" xfId="0" applyFont="1" applyFill="1" applyAlignment="1">
      <alignment horizontal="center"/>
    </xf>
    <xf numFmtId="0" fontId="3" fillId="4" borderId="0" xfId="0" applyFont="1" applyFill="1"/>
    <xf numFmtId="0" fontId="0" fillId="4" borderId="7" xfId="0" applyFill="1" applyBorder="1"/>
    <xf numFmtId="0" fontId="0" fillId="4" borderId="15" xfId="0" applyFill="1" applyBorder="1"/>
    <xf numFmtId="0" fontId="0" fillId="4" borderId="0" xfId="0" applyFill="1" applyAlignment="1">
      <alignment horizontal="center"/>
    </xf>
    <xf numFmtId="0" fontId="3" fillId="4" borderId="7" xfId="0" applyFont="1" applyFill="1" applyBorder="1"/>
    <xf numFmtId="0" fontId="0" fillId="4" borderId="16" xfId="0" applyFill="1" applyBorder="1"/>
    <xf numFmtId="0" fontId="5" fillId="4" borderId="0" xfId="0" applyFont="1" applyFill="1" applyAlignment="1">
      <alignment horizontal="center"/>
    </xf>
    <xf numFmtId="0" fontId="5" fillId="4" borderId="0" xfId="0" applyFon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25" xfId="0" applyBorder="1"/>
    <xf numFmtId="0" fontId="0" fillId="0" borderId="0" xfId="0" applyAlignment="1">
      <alignment horizontal="right"/>
    </xf>
    <xf numFmtId="0" fontId="0" fillId="0" borderId="7" xfId="0" applyBorder="1" applyAlignment="1">
      <alignment horizontal="right"/>
    </xf>
    <xf numFmtId="0" fontId="0" fillId="7" borderId="0" xfId="0" applyFill="1"/>
    <xf numFmtId="0" fontId="0" fillId="8" borderId="0" xfId="0" applyFill="1"/>
    <xf numFmtId="0" fontId="7" fillId="0" borderId="0" xfId="0" applyFont="1"/>
    <xf numFmtId="0" fontId="0" fillId="0" borderId="19" xfId="0" applyBorder="1"/>
    <xf numFmtId="0" fontId="0" fillId="3" borderId="19" xfId="0" applyFill="1" applyBorder="1"/>
    <xf numFmtId="0" fontId="0" fillId="0" borderId="14" xfId="0" applyBorder="1"/>
    <xf numFmtId="0" fontId="0" fillId="0" borderId="15" xfId="0" applyBorder="1"/>
    <xf numFmtId="0" fontId="0" fillId="0" borderId="0" xfId="0" applyAlignment="1"/>
    <xf numFmtId="0" fontId="8" fillId="0" borderId="0" xfId="0" applyFont="1"/>
    <xf numFmtId="0" fontId="0" fillId="9" borderId="0" xfId="0" applyFill="1"/>
    <xf numFmtId="0" fontId="0" fillId="0" borderId="26" xfId="0" applyBorder="1"/>
    <xf numFmtId="0" fontId="0" fillId="10" borderId="26" xfId="0" applyFill="1" applyBorder="1"/>
    <xf numFmtId="0" fontId="0" fillId="10" borderId="26" xfId="0" applyFill="1" applyBorder="1" applyAlignment="1">
      <alignment horizontal="center" vertical="center"/>
    </xf>
    <xf numFmtId="0" fontId="0" fillId="10" borderId="26" xfId="0" applyFill="1" applyBorder="1" applyAlignment="1">
      <alignment horizontal="left" vertical="center"/>
    </xf>
    <xf numFmtId="0" fontId="0" fillId="10" borderId="26" xfId="0" applyFill="1" applyBorder="1" applyAlignment="1">
      <alignment horizontal="center"/>
    </xf>
    <xf numFmtId="0" fontId="0" fillId="10" borderId="26" xfId="0" applyFill="1" applyBorder="1" applyAlignment="1">
      <alignment horizontal="left"/>
    </xf>
    <xf numFmtId="0" fontId="0" fillId="11" borderId="26" xfId="0" applyFill="1" applyBorder="1"/>
    <xf numFmtId="0" fontId="0" fillId="10" borderId="26" xfId="0" applyFill="1" applyBorder="1" applyAlignment="1"/>
    <xf numFmtId="0" fontId="0" fillId="12" borderId="26" xfId="0" applyFill="1" applyBorder="1" applyAlignment="1"/>
    <xf numFmtId="0" fontId="0" fillId="12" borderId="26" xfId="0" applyFill="1" applyBorder="1" applyAlignment="1">
      <alignment horizontal="center"/>
    </xf>
    <xf numFmtId="0" fontId="0" fillId="11" borderId="26" xfId="0" applyFill="1" applyBorder="1" applyAlignment="1">
      <alignment horizontal="center"/>
    </xf>
    <xf numFmtId="0" fontId="0" fillId="13" borderId="26" xfId="0" applyFill="1" applyBorder="1" applyAlignment="1"/>
    <xf numFmtId="0" fontId="0" fillId="13" borderId="26" xfId="0" applyFill="1" applyBorder="1"/>
    <xf numFmtId="0" fontId="0" fillId="13" borderId="26" xfId="0" applyFill="1" applyBorder="1" applyAlignment="1">
      <alignment horizontal="center"/>
    </xf>
    <xf numFmtId="0" fontId="0" fillId="6" borderId="19" xfId="0" applyFill="1" applyBorder="1" applyProtection="1">
      <protection locked="0"/>
    </xf>
    <xf numFmtId="0" fontId="0" fillId="4" borderId="0" xfId="0" applyFill="1" applyProtection="1">
      <protection hidden="1"/>
    </xf>
    <xf numFmtId="0" fontId="11" fillId="16" borderId="0" xfId="2" applyFont="1" applyFill="1" applyAlignment="1">
      <alignment horizontal="center" vertical="center"/>
    </xf>
    <xf numFmtId="0" fontId="12" fillId="16" borderId="0" xfId="2" applyFont="1" applyFill="1" applyAlignment="1">
      <alignment horizontal="center" vertical="center"/>
    </xf>
    <xf numFmtId="0" fontId="0" fillId="17" borderId="0" xfId="0" applyFill="1" applyAlignment="1">
      <alignment horizontal="center"/>
    </xf>
    <xf numFmtId="0" fontId="0" fillId="18" borderId="0" xfId="0" applyFill="1"/>
    <xf numFmtId="0" fontId="0" fillId="15" borderId="0" xfId="0" applyFill="1"/>
    <xf numFmtId="0" fontId="0" fillId="18" borderId="0" xfId="0" applyFill="1" applyAlignment="1">
      <alignment horizontal="center"/>
    </xf>
    <xf numFmtId="0" fontId="0" fillId="19" borderId="0" xfId="0" applyFill="1"/>
    <xf numFmtId="0" fontId="0" fillId="19" borderId="0" xfId="0" applyFill="1" applyProtection="1">
      <protection locked="0"/>
    </xf>
    <xf numFmtId="0" fontId="0" fillId="18" borderId="0" xfId="0" applyFill="1" applyAlignment="1">
      <alignment horizontal="right"/>
    </xf>
    <xf numFmtId="0" fontId="0" fillId="18" borderId="0" xfId="0" applyFill="1" applyAlignment="1">
      <alignment horizontal="left"/>
    </xf>
    <xf numFmtId="0" fontId="0" fillId="18" borderId="0" xfId="0" applyFill="1" applyAlignment="1">
      <alignment horizontal="center" vertical="center"/>
    </xf>
    <xf numFmtId="0" fontId="0" fillId="19" borderId="0" xfId="0" applyFill="1" applyAlignment="1">
      <alignment horizontal="center"/>
    </xf>
    <xf numFmtId="0" fontId="0" fillId="21" borderId="15" xfId="0" applyFill="1" applyBorder="1" applyAlignment="1">
      <alignment horizontal="center"/>
    </xf>
    <xf numFmtId="0" fontId="3" fillId="22" borderId="0" xfId="0" applyFont="1" applyFill="1"/>
    <xf numFmtId="0" fontId="0" fillId="22" borderId="7" xfId="0" applyFill="1" applyBorder="1"/>
    <xf numFmtId="0" fontId="0" fillId="22" borderId="15" xfId="0" applyFill="1" applyBorder="1"/>
    <xf numFmtId="0" fontId="0" fillId="19" borderId="0" xfId="0" applyFill="1" applyAlignment="1">
      <alignment horizontal="right"/>
    </xf>
    <xf numFmtId="0" fontId="0" fillId="19" borderId="0" xfId="0" applyFill="1" applyAlignment="1">
      <alignment horizontal="left"/>
    </xf>
    <xf numFmtId="0" fontId="0" fillId="17" borderId="0" xfId="0" applyFill="1"/>
    <xf numFmtId="0" fontId="0" fillId="17" borderId="0" xfId="0" applyFill="1" applyAlignment="1">
      <alignment horizontal="left"/>
    </xf>
    <xf numFmtId="0" fontId="0" fillId="18" borderId="0" xfId="0" applyFill="1"/>
    <xf numFmtId="0" fontId="4" fillId="18" borderId="0" xfId="0" applyFont="1" applyFill="1"/>
    <xf numFmtId="0" fontId="3" fillId="23" borderId="3" xfId="0" applyFont="1" applyFill="1" applyBorder="1"/>
    <xf numFmtId="0" fontId="3" fillId="23" borderId="4" xfId="0" applyFont="1" applyFill="1" applyBorder="1" applyAlignment="1">
      <alignment horizontal="left"/>
    </xf>
    <xf numFmtId="0" fontId="0" fillId="23" borderId="4" xfId="0" applyFill="1" applyBorder="1"/>
    <xf numFmtId="0" fontId="3" fillId="23" borderId="4" xfId="0" applyFont="1" applyFill="1" applyBorder="1" applyAlignment="1">
      <alignment horizontal="center" vertical="center"/>
    </xf>
    <xf numFmtId="0" fontId="3" fillId="23" borderId="4" xfId="0" applyFont="1" applyFill="1" applyBorder="1" applyAlignment="1">
      <alignment horizontal="left" vertical="center"/>
    </xf>
    <xf numFmtId="0" fontId="3" fillId="23" borderId="4" xfId="0" applyFont="1" applyFill="1" applyBorder="1"/>
    <xf numFmtId="0" fontId="3" fillId="24" borderId="4" xfId="0" applyFont="1" applyFill="1" applyBorder="1" applyAlignment="1">
      <alignment horizontal="center"/>
    </xf>
    <xf numFmtId="0" fontId="3" fillId="24" borderId="4" xfId="0" applyFont="1" applyFill="1" applyBorder="1"/>
    <xf numFmtId="0" fontId="0" fillId="24" borderId="5" xfId="0" applyFill="1" applyBorder="1"/>
    <xf numFmtId="0" fontId="0" fillId="23" borderId="8" xfId="0" applyFill="1" applyBorder="1" applyAlignment="1">
      <alignment horizontal="right"/>
    </xf>
    <xf numFmtId="0" fontId="0" fillId="23" borderId="9" xfId="0" applyFill="1" applyBorder="1" applyAlignment="1" applyProtection="1">
      <alignment horizontal="left"/>
      <protection hidden="1"/>
    </xf>
    <xf numFmtId="0" fontId="0" fillId="23" borderId="9" xfId="0" applyFill="1" applyBorder="1"/>
    <xf numFmtId="0" fontId="0" fillId="23" borderId="9" xfId="0" applyFill="1" applyBorder="1" applyProtection="1">
      <protection hidden="1"/>
    </xf>
    <xf numFmtId="0" fontId="0" fillId="23" borderId="9" xfId="0" applyFill="1" applyBorder="1" applyAlignment="1">
      <alignment horizontal="center"/>
    </xf>
    <xf numFmtId="0" fontId="0" fillId="24" borderId="9" xfId="0" applyFill="1" applyBorder="1" applyAlignment="1" applyProtection="1">
      <alignment horizontal="center"/>
      <protection hidden="1"/>
    </xf>
    <xf numFmtId="0" fontId="0" fillId="24" borderId="9" xfId="0" applyFill="1" applyBorder="1" applyAlignment="1">
      <alignment horizontal="center"/>
    </xf>
    <xf numFmtId="0" fontId="0" fillId="24" borderId="10" xfId="0" applyFill="1" applyBorder="1" applyAlignment="1">
      <alignment horizontal="center"/>
    </xf>
    <xf numFmtId="0" fontId="0" fillId="23" borderId="11" xfId="0" applyFill="1" applyBorder="1" applyAlignment="1">
      <alignment horizontal="right"/>
    </xf>
    <xf numFmtId="0" fontId="0" fillId="24" borderId="12" xfId="0" applyFill="1" applyBorder="1" applyAlignment="1">
      <alignment horizontal="center"/>
    </xf>
    <xf numFmtId="0" fontId="0" fillId="23" borderId="14" xfId="0" applyFill="1" applyBorder="1" applyAlignment="1">
      <alignment horizontal="right"/>
    </xf>
    <xf numFmtId="0" fontId="0" fillId="23" borderId="15" xfId="0" applyFill="1" applyBorder="1" applyAlignment="1" applyProtection="1">
      <alignment horizontal="left"/>
      <protection hidden="1"/>
    </xf>
    <xf numFmtId="0" fontId="0" fillId="23" borderId="15" xfId="0" applyFill="1" applyBorder="1"/>
    <xf numFmtId="0" fontId="0" fillId="23" borderId="15" xfId="0" applyFill="1" applyBorder="1" applyProtection="1">
      <protection hidden="1"/>
    </xf>
    <xf numFmtId="0" fontId="0" fillId="23" borderId="15" xfId="0" applyFill="1" applyBorder="1" applyAlignment="1">
      <alignment horizontal="center"/>
    </xf>
    <xf numFmtId="0" fontId="0" fillId="24" borderId="15" xfId="0" applyFill="1" applyBorder="1" applyAlignment="1" applyProtection="1">
      <alignment horizontal="center"/>
      <protection hidden="1"/>
    </xf>
    <xf numFmtId="0" fontId="0" fillId="24" borderId="15" xfId="0" applyFill="1" applyBorder="1" applyAlignment="1">
      <alignment horizontal="center"/>
    </xf>
    <xf numFmtId="0" fontId="0" fillId="24" borderId="16" xfId="0" applyFill="1" applyBorder="1" applyAlignment="1">
      <alignment horizontal="center"/>
    </xf>
    <xf numFmtId="0" fontId="0" fillId="21" borderId="15" xfId="0" applyFill="1" applyBorder="1"/>
    <xf numFmtId="0" fontId="3" fillId="23" borderId="6" xfId="0" applyFont="1" applyFill="1" applyBorder="1"/>
    <xf numFmtId="0" fontId="3" fillId="23" borderId="0" xfId="0" applyFont="1" applyFill="1"/>
    <xf numFmtId="0" fontId="3" fillId="23" borderId="0" xfId="0" applyFont="1" applyFill="1" applyAlignment="1">
      <alignment horizontal="center"/>
    </xf>
    <xf numFmtId="0" fontId="3" fillId="23" borderId="0" xfId="0" applyFont="1" applyFill="1" applyAlignment="1">
      <alignment horizontal="left"/>
    </xf>
    <xf numFmtId="0" fontId="3" fillId="24" borderId="0" xfId="0" applyFont="1" applyFill="1" applyAlignment="1">
      <alignment horizontal="center"/>
    </xf>
    <xf numFmtId="0" fontId="3" fillId="24" borderId="0" xfId="0" applyFont="1" applyFill="1"/>
    <xf numFmtId="0" fontId="3" fillId="24" borderId="7" xfId="0" applyFont="1" applyFill="1" applyBorder="1"/>
    <xf numFmtId="0" fontId="0" fillId="23" borderId="9" xfId="0" applyFill="1" applyBorder="1" applyAlignment="1" applyProtection="1">
      <alignment horizontal="left"/>
      <protection hidden="1"/>
    </xf>
    <xf numFmtId="0" fontId="0" fillId="23" borderId="9" xfId="0" applyFill="1" applyBorder="1" applyAlignment="1" applyProtection="1">
      <alignment horizontal="center"/>
      <protection hidden="1"/>
    </xf>
    <xf numFmtId="0" fontId="0" fillId="24" borderId="10" xfId="0" applyFill="1" applyBorder="1"/>
    <xf numFmtId="0" fontId="0" fillId="24" borderId="12" xfId="0" applyFill="1" applyBorder="1"/>
    <xf numFmtId="0" fontId="0" fillId="23" borderId="15" xfId="0" applyFill="1" applyBorder="1" applyAlignment="1" applyProtection="1">
      <alignment horizontal="center"/>
      <protection hidden="1"/>
    </xf>
    <xf numFmtId="0" fontId="0" fillId="24" borderId="16" xfId="0" applyFill="1" applyBorder="1"/>
    <xf numFmtId="0" fontId="3" fillId="21" borderId="6" xfId="0" applyFont="1" applyFill="1" applyBorder="1" applyAlignment="1">
      <alignment horizontal="center" vertical="center"/>
    </xf>
    <xf numFmtId="0" fontId="3" fillId="21" borderId="0" xfId="0" applyFont="1" applyFill="1" applyAlignment="1">
      <alignment horizontal="center" vertical="center"/>
    </xf>
    <xf numFmtId="0" fontId="3" fillId="21" borderId="0" xfId="0" applyFont="1" applyFill="1" applyAlignment="1">
      <alignment vertical="center"/>
    </xf>
    <xf numFmtId="0" fontId="0" fillId="21" borderId="6" xfId="0" applyFill="1" applyBorder="1" applyAlignment="1">
      <alignment horizontal="right"/>
    </xf>
    <xf numFmtId="49" fontId="0" fillId="21" borderId="0" xfId="0" applyNumberFormat="1" applyFill="1" applyAlignment="1">
      <alignment horizontal="right"/>
    </xf>
    <xf numFmtId="168" fontId="0" fillId="21" borderId="0" xfId="0" applyNumberFormat="1" applyFill="1" applyAlignment="1">
      <alignment horizontal="center"/>
    </xf>
    <xf numFmtId="0" fontId="0" fillId="21" borderId="0" xfId="0" applyFill="1"/>
    <xf numFmtId="0" fontId="0" fillId="22" borderId="0" xfId="0" applyFill="1" applyAlignment="1">
      <alignment horizontal="center"/>
    </xf>
    <xf numFmtId="0" fontId="0" fillId="21" borderId="14" xfId="0" applyFill="1" applyBorder="1"/>
    <xf numFmtId="0" fontId="3" fillId="22" borderId="7" xfId="0" applyFont="1" applyFill="1" applyBorder="1"/>
    <xf numFmtId="0" fontId="0" fillId="22" borderId="16" xfId="0" applyFill="1" applyBorder="1"/>
    <xf numFmtId="0" fontId="3" fillId="22" borderId="0" xfId="0" applyFont="1" applyFill="1" applyAlignment="1">
      <alignment vertical="center"/>
    </xf>
    <xf numFmtId="0" fontId="3" fillId="22" borderId="0" xfId="0" applyFont="1" applyFill="1" applyAlignment="1">
      <alignment horizontal="center" vertical="center"/>
    </xf>
    <xf numFmtId="0" fontId="3" fillId="24" borderId="6" xfId="0" applyFont="1" applyFill="1" applyBorder="1"/>
    <xf numFmtId="0" fontId="3" fillId="25" borderId="0" xfId="0" applyFont="1" applyFill="1" applyAlignment="1">
      <alignment horizontal="center"/>
    </xf>
    <xf numFmtId="0" fontId="3" fillId="25" borderId="0" xfId="0" applyFont="1" applyFill="1" applyAlignment="1">
      <alignment horizontal="left"/>
    </xf>
    <xf numFmtId="0" fontId="3" fillId="25" borderId="0" xfId="0" applyFont="1" applyFill="1"/>
    <xf numFmtId="0" fontId="0" fillId="25" borderId="7" xfId="0" applyFill="1" applyBorder="1"/>
    <xf numFmtId="0" fontId="0" fillId="24" borderId="8" xfId="0" applyFill="1" applyBorder="1" applyAlignment="1">
      <alignment horizontal="right"/>
    </xf>
    <xf numFmtId="0" fontId="0" fillId="25" borderId="9" xfId="0" applyFill="1" applyBorder="1" applyAlignment="1" applyProtection="1">
      <alignment horizontal="center"/>
      <protection hidden="1"/>
    </xf>
    <xf numFmtId="0" fontId="0" fillId="25" borderId="9" xfId="0" applyFill="1" applyBorder="1"/>
    <xf numFmtId="0" fontId="0" fillId="25" borderId="9" xfId="0" applyFill="1" applyBorder="1" applyProtection="1">
      <protection hidden="1"/>
    </xf>
    <xf numFmtId="0" fontId="0" fillId="25" borderId="9" xfId="0" applyFill="1" applyBorder="1" applyAlignment="1">
      <alignment horizontal="center"/>
    </xf>
    <xf numFmtId="0" fontId="0" fillId="25" borderId="9" xfId="0" applyFill="1" applyBorder="1" applyAlignment="1" applyProtection="1">
      <alignment horizontal="left"/>
      <protection hidden="1"/>
    </xf>
    <xf numFmtId="0" fontId="0" fillId="25" borderId="10" xfId="0" applyFill="1" applyBorder="1" applyAlignment="1">
      <alignment horizontal="center"/>
    </xf>
    <xf numFmtId="0" fontId="0" fillId="24" borderId="11" xfId="0" applyFill="1" applyBorder="1" applyAlignment="1">
      <alignment horizontal="right"/>
    </xf>
    <xf numFmtId="0" fontId="0" fillId="25" borderId="12" xfId="0" applyFill="1" applyBorder="1" applyAlignment="1">
      <alignment horizontal="center"/>
    </xf>
    <xf numFmtId="0" fontId="0" fillId="24" borderId="14" xfId="0" applyFill="1" applyBorder="1" applyAlignment="1">
      <alignment horizontal="right"/>
    </xf>
    <xf numFmtId="0" fontId="0" fillId="25" borderId="15" xfId="0" applyFill="1" applyBorder="1" applyAlignment="1" applyProtection="1">
      <alignment horizontal="center"/>
      <protection hidden="1"/>
    </xf>
    <xf numFmtId="0" fontId="0" fillId="25" borderId="15" xfId="0" applyFill="1" applyBorder="1"/>
    <xf numFmtId="0" fontId="0" fillId="25" borderId="15" xfId="0" applyFill="1" applyBorder="1" applyProtection="1">
      <protection hidden="1"/>
    </xf>
    <xf numFmtId="0" fontId="0" fillId="25" borderId="15" xfId="0" applyFill="1" applyBorder="1" applyAlignment="1">
      <alignment horizontal="center"/>
    </xf>
    <xf numFmtId="0" fontId="0" fillId="25" borderId="15" xfId="0" applyFill="1" applyBorder="1" applyAlignment="1" applyProtection="1">
      <alignment horizontal="left"/>
      <protection hidden="1"/>
    </xf>
    <xf numFmtId="0" fontId="0" fillId="25" borderId="16" xfId="0" applyFill="1" applyBorder="1" applyAlignment="1">
      <alignment horizontal="center"/>
    </xf>
    <xf numFmtId="0" fontId="0" fillId="19" borderId="23" xfId="0" applyFill="1" applyBorder="1"/>
    <xf numFmtId="0" fontId="13" fillId="21" borderId="7" xfId="0" applyFont="1" applyFill="1" applyBorder="1"/>
    <xf numFmtId="0" fontId="13" fillId="20" borderId="14" xfId="0" applyFont="1" applyFill="1" applyBorder="1"/>
    <xf numFmtId="0" fontId="13" fillId="20" borderId="15" xfId="0" applyFont="1" applyFill="1" applyBorder="1"/>
    <xf numFmtId="0" fontId="13" fillId="20" borderId="15" xfId="0" applyFont="1" applyFill="1" applyBorder="1" applyAlignment="1">
      <alignment horizontal="center"/>
    </xf>
    <xf numFmtId="0" fontId="13" fillId="21" borderId="15" xfId="0" applyFont="1" applyFill="1" applyBorder="1"/>
    <xf numFmtId="0" fontId="13" fillId="21" borderId="16" xfId="0" applyFont="1" applyFill="1" applyBorder="1"/>
    <xf numFmtId="0" fontId="14" fillId="20" borderId="6" xfId="0" applyFont="1" applyFill="1" applyBorder="1" applyAlignment="1">
      <alignment horizontal="center"/>
    </xf>
    <xf numFmtId="0" fontId="14" fillId="20" borderId="0" xfId="0" applyFont="1" applyFill="1" applyAlignment="1">
      <alignment horizontal="center"/>
    </xf>
    <xf numFmtId="0" fontId="14" fillId="21" borderId="0" xfId="0" applyFont="1" applyFill="1" applyAlignment="1"/>
    <xf numFmtId="0" fontId="14" fillId="21" borderId="0" xfId="0" applyFont="1" applyFill="1" applyAlignment="1">
      <alignment horizontal="center"/>
    </xf>
    <xf numFmtId="0" fontId="14" fillId="21" borderId="7" xfId="0" applyFont="1" applyFill="1" applyBorder="1" applyAlignment="1"/>
    <xf numFmtId="0" fontId="2" fillId="5" borderId="2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/>
    </xf>
    <xf numFmtId="0" fontId="0" fillId="23" borderId="9" xfId="0" applyFill="1" applyBorder="1" applyAlignment="1" applyProtection="1">
      <alignment horizontal="left"/>
      <protection hidden="1"/>
    </xf>
    <xf numFmtId="0" fontId="0" fillId="18" borderId="0" xfId="0" applyFill="1"/>
    <xf numFmtId="0" fontId="3" fillId="20" borderId="6" xfId="0" applyFont="1" applyFill="1" applyBorder="1" applyAlignment="1">
      <alignment horizontal="center"/>
    </xf>
    <xf numFmtId="0" fontId="3" fillId="20" borderId="0" xfId="0" applyFont="1" applyFill="1" applyAlignment="1">
      <alignment horizontal="center"/>
    </xf>
    <xf numFmtId="0" fontId="3" fillId="20" borderId="0" xfId="0" applyFont="1" applyFill="1"/>
    <xf numFmtId="0" fontId="3" fillId="20" borderId="0" xfId="0" applyFont="1" applyFill="1" applyAlignment="1">
      <alignment horizontal="center"/>
    </xf>
    <xf numFmtId="0" fontId="0" fillId="20" borderId="6" xfId="0" applyFill="1" applyBorder="1" applyAlignment="1">
      <alignment horizontal="right"/>
    </xf>
    <xf numFmtId="49" fontId="0" fillId="20" borderId="0" xfId="0" applyNumberFormat="1" applyFill="1" applyAlignment="1">
      <alignment horizontal="right"/>
    </xf>
    <xf numFmtId="168" fontId="0" fillId="20" borderId="0" xfId="0" applyNumberFormat="1" applyFill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/>
    </xf>
    <xf numFmtId="0" fontId="0" fillId="20" borderId="14" xfId="0" applyFill="1" applyBorder="1"/>
    <xf numFmtId="0" fontId="0" fillId="20" borderId="15" xfId="0" applyFill="1" applyBorder="1"/>
    <xf numFmtId="0" fontId="0" fillId="20" borderId="15" xfId="0" applyFill="1" applyBorder="1" applyAlignment="1">
      <alignment horizontal="center"/>
    </xf>
    <xf numFmtId="0" fontId="3" fillId="21" borderId="0" xfId="0" applyFont="1" applyFill="1"/>
    <xf numFmtId="0" fontId="0" fillId="21" borderId="7" xfId="0" applyFill="1" applyBorder="1"/>
    <xf numFmtId="0" fontId="0" fillId="21" borderId="0" xfId="0" applyFill="1" applyAlignment="1">
      <alignment horizontal="center"/>
    </xf>
    <xf numFmtId="0" fontId="0" fillId="21" borderId="16" xfId="0" applyFill="1" applyBorder="1"/>
    <xf numFmtId="0" fontId="3" fillId="21" borderId="6" xfId="0" applyFont="1" applyFill="1" applyBorder="1" applyAlignment="1">
      <alignment horizontal="center"/>
    </xf>
    <xf numFmtId="0" fontId="3" fillId="21" borderId="0" xfId="0" applyFont="1" applyFill="1" applyAlignment="1">
      <alignment horizontal="center"/>
    </xf>
    <xf numFmtId="0" fontId="0" fillId="21" borderId="6" xfId="0" applyFill="1" applyBorder="1"/>
    <xf numFmtId="0" fontId="3" fillId="22" borderId="0" xfId="0" applyFont="1" applyFill="1" applyAlignment="1">
      <alignment horizontal="center"/>
    </xf>
    <xf numFmtId="0" fontId="0" fillId="22" borderId="0" xfId="0" applyFill="1"/>
    <xf numFmtId="0" fontId="3" fillId="25" borderId="7" xfId="0" applyFont="1" applyFill="1" applyBorder="1" applyAlignment="1">
      <alignment horizontal="center"/>
    </xf>
    <xf numFmtId="0" fontId="0" fillId="25" borderId="10" xfId="0" applyFill="1" applyBorder="1"/>
    <xf numFmtId="0" fontId="0" fillId="25" borderId="12" xfId="0" applyFill="1" applyBorder="1"/>
    <xf numFmtId="0" fontId="0" fillId="25" borderId="16" xfId="0" applyFill="1" applyBorder="1"/>
    <xf numFmtId="0" fontId="3" fillId="24" borderId="0" xfId="0" applyFont="1" applyFill="1" applyAlignment="1">
      <alignment horizontal="left"/>
    </xf>
    <xf numFmtId="0" fontId="3" fillId="25" borderId="7" xfId="0" applyFont="1" applyFill="1" applyBorder="1"/>
    <xf numFmtId="0" fontId="15" fillId="6" borderId="19" xfId="0" applyFont="1" applyFill="1" applyBorder="1" applyAlignment="1" applyProtection="1">
      <alignment horizontal="right"/>
      <protection locked="0"/>
    </xf>
    <xf numFmtId="0" fontId="15" fillId="21" borderId="0" xfId="0" applyFont="1" applyFill="1" applyAlignment="1">
      <alignment horizontal="center"/>
    </xf>
    <xf numFmtId="0" fontId="15" fillId="6" borderId="20" xfId="0" applyFont="1" applyFill="1" applyBorder="1" applyAlignment="1" applyProtection="1">
      <alignment horizontal="right"/>
      <protection locked="0"/>
    </xf>
    <xf numFmtId="0" fontId="15" fillId="6" borderId="22" xfId="0" applyFont="1" applyFill="1" applyBorder="1" applyAlignment="1" applyProtection="1">
      <alignment horizontal="right"/>
      <protection locked="0"/>
    </xf>
    <xf numFmtId="0" fontId="0" fillId="20" borderId="6" xfId="0" applyFill="1" applyBorder="1"/>
    <xf numFmtId="0" fontId="0" fillId="20" borderId="0" xfId="0" applyFill="1" applyAlignment="1"/>
    <xf numFmtId="0" fontId="3" fillId="21" borderId="7" xfId="0" applyFont="1" applyFill="1" applyBorder="1"/>
    <xf numFmtId="0" fontId="3" fillId="19" borderId="0" xfId="0" applyFont="1" applyFill="1" applyAlignment="1">
      <alignment horizontal="center"/>
    </xf>
    <xf numFmtId="165" fontId="0" fillId="20" borderId="0" xfId="0" applyNumberFormat="1" applyFill="1" applyAlignment="1">
      <alignment horizontal="center"/>
    </xf>
    <xf numFmtId="164" fontId="0" fillId="20" borderId="0" xfId="0" applyNumberFormat="1" applyFill="1" applyAlignment="1">
      <alignment horizontal="center"/>
    </xf>
    <xf numFmtId="165" fontId="0" fillId="21" borderId="0" xfId="0" applyNumberFormat="1" applyFill="1" applyAlignment="1">
      <alignment horizontal="center"/>
    </xf>
    <xf numFmtId="164" fontId="0" fillId="21" borderId="0" xfId="0" applyNumberFormat="1" applyFill="1" applyAlignment="1">
      <alignment horizontal="center"/>
    </xf>
    <xf numFmtId="0" fontId="5" fillId="19" borderId="0" xfId="0" applyFont="1" applyFill="1"/>
    <xf numFmtId="0" fontId="3" fillId="19" borderId="0" xfId="0" applyFont="1" applyFill="1"/>
    <xf numFmtId="0" fontId="2" fillId="19" borderId="0" xfId="0" applyFont="1" applyFill="1" applyAlignment="1">
      <alignment vertical="center"/>
    </xf>
    <xf numFmtId="0" fontId="0" fillId="19" borderId="0" xfId="0" applyFill="1" applyAlignment="1">
      <alignment vertical="center"/>
    </xf>
    <xf numFmtId="0" fontId="3" fillId="26" borderId="6" xfId="0" applyFont="1" applyFill="1" applyBorder="1" applyAlignment="1">
      <alignment horizontal="center"/>
    </xf>
    <xf numFmtId="0" fontId="3" fillId="26" borderId="0" xfId="0" applyFont="1" applyFill="1" applyAlignment="1">
      <alignment horizontal="center"/>
    </xf>
    <xf numFmtId="0" fontId="5" fillId="26" borderId="0" xfId="0" applyFont="1" applyFill="1" applyAlignment="1">
      <alignment horizontal="center"/>
    </xf>
    <xf numFmtId="0" fontId="0" fillId="26" borderId="6" xfId="0" applyFill="1" applyBorder="1"/>
    <xf numFmtId="164" fontId="0" fillId="26" borderId="0" xfId="0" applyNumberFormat="1" applyFill="1" applyAlignment="1">
      <alignment horizontal="center"/>
    </xf>
    <xf numFmtId="0" fontId="0" fillId="26" borderId="0" xfId="0" applyFill="1"/>
    <xf numFmtId="0" fontId="0" fillId="26" borderId="14" xfId="0" applyFill="1" applyBorder="1"/>
    <xf numFmtId="0" fontId="0" fillId="26" borderId="15" xfId="0" applyFill="1" applyBorder="1"/>
    <xf numFmtId="0" fontId="5" fillId="26" borderId="0" xfId="0" applyFont="1" applyFill="1"/>
    <xf numFmtId="166" fontId="0" fillId="26" borderId="0" xfId="0" applyNumberFormat="1" applyFill="1" applyAlignment="1">
      <alignment horizontal="center"/>
    </xf>
    <xf numFmtId="0" fontId="3" fillId="27" borderId="6" xfId="0" applyFont="1" applyFill="1" applyBorder="1" applyAlignment="1">
      <alignment horizontal="center"/>
    </xf>
    <xf numFmtId="0" fontId="3" fillId="26" borderId="0" xfId="0" applyFont="1" applyFill="1"/>
    <xf numFmtId="0" fontId="0" fillId="26" borderId="7" xfId="0" applyFill="1" applyBorder="1"/>
    <xf numFmtId="0" fontId="3" fillId="27" borderId="0" xfId="0" applyFont="1" applyFill="1" applyAlignment="1">
      <alignment horizontal="center"/>
    </xf>
    <xf numFmtId="0" fontId="5" fillId="27" borderId="0" xfId="0" applyFont="1" applyFill="1"/>
    <xf numFmtId="0" fontId="5" fillId="27" borderId="0" xfId="0" applyFont="1" applyFill="1" applyAlignment="1">
      <alignment horizontal="center"/>
    </xf>
    <xf numFmtId="0" fontId="0" fillId="27" borderId="6" xfId="0" applyFill="1" applyBorder="1"/>
    <xf numFmtId="164" fontId="0" fillId="27" borderId="0" xfId="0" applyNumberFormat="1" applyFill="1" applyAlignment="1">
      <alignment horizontal="center"/>
    </xf>
    <xf numFmtId="0" fontId="0" fillId="27" borderId="0" xfId="0" applyFill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0" fontId="0" fillId="26" borderId="0" xfId="0" applyFill="1" applyAlignment="1">
      <alignment horizontal="center"/>
    </xf>
    <xf numFmtId="0" fontId="0" fillId="26" borderId="16" xfId="0" applyFill="1" applyBorder="1"/>
    <xf numFmtId="0" fontId="18" fillId="0" borderId="0" xfId="0" applyFont="1" applyAlignment="1">
      <alignment vertical="center"/>
    </xf>
    <xf numFmtId="0" fontId="0" fillId="0" borderId="0" xfId="0" applyBorder="1"/>
    <xf numFmtId="0" fontId="2" fillId="5" borderId="2" xfId="0" applyFont="1" applyFill="1" applyBorder="1" applyAlignment="1">
      <alignment horizontal="center" vertical="center"/>
    </xf>
    <xf numFmtId="49" fontId="0" fillId="26" borderId="0" xfId="0" applyNumberFormat="1" applyFill="1" applyAlignment="1">
      <alignment horizontal="right"/>
    </xf>
    <xf numFmtId="49" fontId="0" fillId="26" borderId="0" xfId="0" applyNumberFormat="1" applyFill="1" applyAlignment="1" applyProtection="1">
      <alignment horizontal="right"/>
      <protection locked="0"/>
    </xf>
    <xf numFmtId="165" fontId="0" fillId="27" borderId="0" xfId="0" applyNumberFormat="1" applyFill="1" applyAlignment="1">
      <alignment horizontal="right"/>
    </xf>
    <xf numFmtId="165" fontId="0" fillId="26" borderId="0" xfId="0" applyNumberFormat="1" applyFill="1" applyAlignment="1">
      <alignment horizontal="right"/>
    </xf>
    <xf numFmtId="0" fontId="14" fillId="20" borderId="0" xfId="0" applyFont="1" applyFill="1" applyAlignment="1">
      <alignment horizontal="right"/>
    </xf>
    <xf numFmtId="0" fontId="3" fillId="21" borderId="0" xfId="0" applyFont="1" applyFill="1" applyAlignment="1">
      <alignment horizontal="right" vertical="center"/>
    </xf>
    <xf numFmtId="0" fontId="17" fillId="20" borderId="6" xfId="0" applyFont="1" applyFill="1" applyBorder="1" applyAlignment="1">
      <alignment horizontal="right"/>
    </xf>
    <xf numFmtId="49" fontId="17" fillId="20" borderId="0" xfId="0" applyNumberFormat="1" applyFont="1" applyFill="1" applyAlignment="1">
      <alignment horizontal="right"/>
    </xf>
    <xf numFmtId="168" fontId="17" fillId="20" borderId="0" xfId="0" applyNumberFormat="1" applyFont="1" applyFill="1" applyAlignment="1">
      <alignment horizontal="center"/>
    </xf>
    <xf numFmtId="167" fontId="17" fillId="20" borderId="0" xfId="0" applyNumberFormat="1" applyFont="1" applyFill="1" applyAlignment="1"/>
    <xf numFmtId="0" fontId="17" fillId="20" borderId="0" xfId="0" applyFont="1" applyFill="1" applyAlignment="1">
      <alignment horizontal="center"/>
    </xf>
    <xf numFmtId="0" fontId="17" fillId="23" borderId="8" xfId="0" applyFont="1" applyFill="1" applyBorder="1" applyAlignment="1">
      <alignment horizontal="right"/>
    </xf>
    <xf numFmtId="0" fontId="17" fillId="23" borderId="9" xfId="0" applyFont="1" applyFill="1" applyBorder="1" applyAlignment="1" applyProtection="1">
      <alignment horizontal="left"/>
      <protection hidden="1"/>
    </xf>
    <xf numFmtId="0" fontId="17" fillId="23" borderId="9" xfId="0" applyFont="1" applyFill="1" applyBorder="1" applyAlignment="1">
      <alignment horizontal="left"/>
    </xf>
    <xf numFmtId="0" fontId="17" fillId="23" borderId="9" xfId="0" applyFont="1" applyFill="1" applyBorder="1" applyAlignment="1" applyProtection="1">
      <alignment horizontal="center" vertical="center"/>
      <protection hidden="1"/>
    </xf>
    <xf numFmtId="0" fontId="17" fillId="23" borderId="9" xfId="0" applyFont="1" applyFill="1" applyBorder="1"/>
    <xf numFmtId="0" fontId="17" fillId="23" borderId="9" xfId="0" applyFont="1" applyFill="1" applyBorder="1" applyProtection="1">
      <protection hidden="1"/>
    </xf>
    <xf numFmtId="0" fontId="17" fillId="23" borderId="9" xfId="0" applyFont="1" applyFill="1" applyBorder="1" applyAlignment="1">
      <alignment horizontal="center"/>
    </xf>
    <xf numFmtId="0" fontId="17" fillId="24" borderId="9" xfId="0" applyFont="1" applyFill="1" applyBorder="1" applyAlignment="1" applyProtection="1">
      <alignment horizontal="center"/>
      <protection hidden="1"/>
    </xf>
    <xf numFmtId="0" fontId="17" fillId="23" borderId="11" xfId="0" applyFont="1" applyFill="1" applyBorder="1" applyAlignment="1">
      <alignment horizontal="right"/>
    </xf>
    <xf numFmtId="0" fontId="17" fillId="23" borderId="14" xfId="0" applyFont="1" applyFill="1" applyBorder="1" applyAlignment="1">
      <alignment horizontal="right"/>
    </xf>
    <xf numFmtId="0" fontId="17" fillId="23" borderId="15" xfId="0" applyFont="1" applyFill="1" applyBorder="1" applyAlignment="1" applyProtection="1">
      <alignment horizontal="left"/>
      <protection hidden="1"/>
    </xf>
    <xf numFmtId="0" fontId="17" fillId="23" borderId="15" xfId="0" applyFont="1" applyFill="1" applyBorder="1" applyAlignment="1">
      <alignment horizontal="left"/>
    </xf>
    <xf numFmtId="0" fontId="17" fillId="23" borderId="15" xfId="0" applyFont="1" applyFill="1" applyBorder="1" applyAlignment="1" applyProtection="1">
      <alignment horizontal="center" vertical="center"/>
      <protection hidden="1"/>
    </xf>
    <xf numFmtId="0" fontId="17" fillId="23" borderId="15" xfId="0" applyFont="1" applyFill="1" applyBorder="1"/>
    <xf numFmtId="0" fontId="17" fillId="23" borderId="15" xfId="0" applyFont="1" applyFill="1" applyBorder="1" applyProtection="1">
      <protection hidden="1"/>
    </xf>
    <xf numFmtId="0" fontId="17" fillId="23" borderId="15" xfId="0" applyFont="1" applyFill="1" applyBorder="1" applyAlignment="1">
      <alignment horizontal="center"/>
    </xf>
    <xf numFmtId="0" fontId="17" fillId="24" borderId="15" xfId="0" applyFont="1" applyFill="1" applyBorder="1" applyAlignment="1" applyProtection="1">
      <alignment horizontal="center"/>
      <protection hidden="1"/>
    </xf>
    <xf numFmtId="0" fontId="3" fillId="27" borderId="0" xfId="0" applyFont="1" applyFill="1" applyAlignment="1">
      <alignment horizontal="right"/>
    </xf>
    <xf numFmtId="0" fontId="3" fillId="21" borderId="0" xfId="0" applyFont="1" applyFill="1" applyAlignment="1">
      <alignment horizontal="right"/>
    </xf>
    <xf numFmtId="0" fontId="3" fillId="26" borderId="0" xfId="0" applyFont="1" applyFill="1" applyAlignment="1">
      <alignment horizontal="right"/>
    </xf>
    <xf numFmtId="0" fontId="3" fillId="20" borderId="0" xfId="0" applyFont="1" applyFill="1" applyAlignment="1">
      <alignment horizontal="right"/>
    </xf>
    <xf numFmtId="0" fontId="3" fillId="23" borderId="0" xfId="0" applyFont="1" applyFill="1" applyBorder="1" applyAlignment="1">
      <alignment horizontal="left"/>
    </xf>
    <xf numFmtId="0" fontId="11" fillId="10" borderId="0" xfId="0" applyFont="1" applyFill="1"/>
    <xf numFmtId="0" fontId="0" fillId="12" borderId="0" xfId="0" applyFill="1"/>
    <xf numFmtId="0" fontId="0" fillId="13" borderId="0" xfId="0" applyFill="1"/>
    <xf numFmtId="0" fontId="0" fillId="10" borderId="0" xfId="0" applyFill="1"/>
    <xf numFmtId="0" fontId="0" fillId="0" borderId="0" xfId="0" quotePrefix="1"/>
    <xf numFmtId="0" fontId="2" fillId="5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0" fillId="24" borderId="9" xfId="0" applyFill="1" applyBorder="1" applyAlignment="1" applyProtection="1">
      <alignment horizontal="left"/>
      <protection hidden="1"/>
    </xf>
    <xf numFmtId="0" fontId="0" fillId="24" borderId="13" xfId="0" applyFill="1" applyBorder="1" applyAlignment="1" applyProtection="1">
      <alignment horizontal="left"/>
      <protection hidden="1"/>
    </xf>
    <xf numFmtId="0" fontId="0" fillId="24" borderId="17" xfId="0" applyFill="1" applyBorder="1" applyAlignment="1" applyProtection="1">
      <alignment horizontal="left"/>
      <protection hidden="1"/>
    </xf>
    <xf numFmtId="0" fontId="17" fillId="20" borderId="0" xfId="0" applyFont="1" applyFill="1" applyAlignment="1">
      <alignment horizontal="right"/>
    </xf>
    <xf numFmtId="0" fontId="17" fillId="20" borderId="18" xfId="0" applyFont="1" applyFill="1" applyBorder="1" applyAlignment="1"/>
    <xf numFmtId="0" fontId="0" fillId="22" borderId="0" xfId="0" applyFill="1" applyAlignment="1">
      <alignment horizontal="right"/>
    </xf>
    <xf numFmtId="0" fontId="0" fillId="22" borderId="18" xfId="0" applyFill="1" applyBorder="1" applyAlignment="1">
      <alignment horizontal="left"/>
    </xf>
    <xf numFmtId="0" fontId="14" fillId="20" borderId="0" xfId="0" applyFont="1" applyFill="1" applyAlignment="1">
      <alignment horizontal="center"/>
    </xf>
    <xf numFmtId="0" fontId="3" fillId="22" borderId="0" xfId="0" applyFont="1" applyFill="1" applyAlignment="1">
      <alignment horizontal="center" vertical="center"/>
    </xf>
    <xf numFmtId="0" fontId="0" fillId="18" borderId="0" xfId="0" applyFill="1"/>
    <xf numFmtId="0" fontId="2" fillId="5" borderId="27" xfId="0" applyFont="1" applyFill="1" applyBorder="1" applyAlignment="1">
      <alignment horizontal="center" vertical="center"/>
    </xf>
    <xf numFmtId="0" fontId="0" fillId="22" borderId="21" xfId="0" applyFill="1" applyBorder="1" applyAlignment="1">
      <alignment horizontal="left"/>
    </xf>
    <xf numFmtId="0" fontId="17" fillId="20" borderId="18" xfId="0" applyFont="1" applyFill="1" applyBorder="1" applyAlignment="1">
      <alignment wrapText="1"/>
    </xf>
    <xf numFmtId="0" fontId="0" fillId="23" borderId="17" xfId="0" applyFill="1" applyBorder="1" applyAlignment="1" applyProtection="1">
      <alignment horizontal="left"/>
      <protection hidden="1"/>
    </xf>
    <xf numFmtId="0" fontId="2" fillId="5" borderId="24" xfId="0" applyFont="1" applyFill="1" applyBorder="1" applyAlignment="1">
      <alignment horizontal="center" vertical="center"/>
    </xf>
    <xf numFmtId="0" fontId="3" fillId="20" borderId="0" xfId="0" applyFont="1" applyFill="1" applyAlignment="1">
      <alignment horizontal="center"/>
    </xf>
    <xf numFmtId="0" fontId="3" fillId="22" borderId="0" xfId="0" applyFont="1" applyFill="1" applyAlignment="1">
      <alignment horizontal="center"/>
    </xf>
    <xf numFmtId="0" fontId="0" fillId="23" borderId="9" xfId="0" applyFill="1" applyBorder="1" applyAlignment="1" applyProtection="1">
      <alignment horizontal="left"/>
      <protection hidden="1"/>
    </xf>
    <xf numFmtId="0" fontId="0" fillId="23" borderId="13" xfId="0" applyFill="1" applyBorder="1" applyAlignment="1" applyProtection="1">
      <alignment horizontal="left"/>
      <protection hidden="1"/>
    </xf>
    <xf numFmtId="0" fontId="0" fillId="22" borderId="0" xfId="0" applyFill="1" applyAlignment="1">
      <alignment horizontal="right" vertical="center"/>
    </xf>
    <xf numFmtId="0" fontId="0" fillId="22" borderId="18" xfId="0" applyFill="1" applyBorder="1" applyAlignment="1">
      <alignment horizontal="left" vertical="center"/>
    </xf>
    <xf numFmtId="0" fontId="0" fillId="20" borderId="0" xfId="0" applyFill="1" applyAlignment="1">
      <alignment horizontal="right"/>
    </xf>
    <xf numFmtId="0" fontId="0" fillId="20" borderId="18" xfId="0" applyFill="1" applyBorder="1" applyAlignment="1">
      <alignment horizontal="left"/>
    </xf>
    <xf numFmtId="0" fontId="0" fillId="4" borderId="0" xfId="0" applyFill="1" applyAlignment="1" applyProtection="1">
      <alignment horizontal="right"/>
      <protection hidden="1"/>
    </xf>
    <xf numFmtId="0" fontId="0" fillId="4" borderId="0" xfId="0" applyFill="1" applyBorder="1" applyProtection="1">
      <protection hidden="1"/>
    </xf>
    <xf numFmtId="0" fontId="0" fillId="4" borderId="18" xfId="0" applyFill="1" applyBorder="1" applyProtection="1">
      <protection hidden="1"/>
    </xf>
    <xf numFmtId="0" fontId="0" fillId="27" borderId="0" xfId="0" applyFill="1" applyAlignment="1" applyProtection="1">
      <alignment horizontal="right"/>
      <protection hidden="1"/>
    </xf>
    <xf numFmtId="0" fontId="0" fillId="14" borderId="0" xfId="0" applyFill="1" applyAlignment="1">
      <alignment horizontal="center"/>
    </xf>
    <xf numFmtId="0" fontId="16" fillId="15" borderId="0" xfId="0" applyFont="1" applyFill="1" applyBorder="1" applyAlignment="1">
      <alignment horizontal="center" vertical="center"/>
    </xf>
    <xf numFmtId="0" fontId="9" fillId="15" borderId="0" xfId="0" applyFont="1" applyFill="1" applyBorder="1" applyAlignment="1">
      <alignment horizontal="center" vertical="center"/>
    </xf>
    <xf numFmtId="0" fontId="11" fillId="16" borderId="0" xfId="2" applyFont="1" applyFill="1" applyAlignment="1" applyProtection="1">
      <alignment horizontal="center" vertical="center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0" fillId="27" borderId="0" xfId="0" applyFill="1" applyBorder="1" applyAlignment="1" applyProtection="1">
      <alignment horizontal="left"/>
      <protection hidden="1"/>
    </xf>
    <xf numFmtId="0" fontId="0" fillId="27" borderId="18" xfId="0" applyFill="1" applyBorder="1" applyAlignment="1" applyProtection="1">
      <alignment horizontal="left"/>
      <protection hidden="1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18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left"/>
      <protection hidden="1"/>
    </xf>
    <xf numFmtId="0" fontId="0" fillId="0" borderId="0" xfId="0" applyAlignment="1">
      <alignment horizontal="center"/>
    </xf>
  </cellXfs>
  <cellStyles count="3">
    <cellStyle name="Gut" xfId="1" builtinId="26" customBuiltin="1"/>
    <cellStyle name="Hyperlink" xfId="2" builtinId="8"/>
    <cellStyle name="Stand." xfId="0" builtinId="0" customBuiltin="1"/>
  </cellStyles>
  <dxfs count="0"/>
  <tableStyles count="0" defaultTableStyle="TableStyleMedium2" defaultPivotStyle="PivotStyleLight16"/>
  <colors>
    <mruColors>
      <color rgb="FFC00000"/>
      <color rgb="FFE20000"/>
      <color rgb="FFFFCCCC"/>
      <color rgb="FFFF9999"/>
      <color rgb="FFD6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Relationship Id="rId10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20" Type="http://schemas.openxmlformats.org/officeDocument/2006/relationships/image" Target="../media/image17.png"/><Relationship Id="rId21" Type="http://schemas.openxmlformats.org/officeDocument/2006/relationships/image" Target="../media/image18.gif"/><Relationship Id="rId22" Type="http://schemas.openxmlformats.org/officeDocument/2006/relationships/image" Target="../media/image19.png"/><Relationship Id="rId23" Type="http://schemas.openxmlformats.org/officeDocument/2006/relationships/image" Target="../media/image20.png"/><Relationship Id="rId24" Type="http://schemas.openxmlformats.org/officeDocument/2006/relationships/image" Target="../media/image21.png"/><Relationship Id="rId25" Type="http://schemas.openxmlformats.org/officeDocument/2006/relationships/image" Target="../media/image22.png"/><Relationship Id="rId26" Type="http://schemas.openxmlformats.org/officeDocument/2006/relationships/image" Target="../media/image23.png"/><Relationship Id="rId27" Type="http://schemas.openxmlformats.org/officeDocument/2006/relationships/image" Target="../media/image24.gif"/><Relationship Id="rId28" Type="http://schemas.openxmlformats.org/officeDocument/2006/relationships/image" Target="../media/image25.gif"/><Relationship Id="rId29" Type="http://schemas.openxmlformats.org/officeDocument/2006/relationships/image" Target="../media/image26.png"/><Relationship Id="rId1" Type="http://schemas.openxmlformats.org/officeDocument/2006/relationships/image" Target="../media/image1.gif"/><Relationship Id="rId2" Type="http://schemas.openxmlformats.org/officeDocument/2006/relationships/hyperlink" Target="https://www.deutschlandtrikot.de/" TargetMode="External"/><Relationship Id="rId3" Type="http://schemas.openxmlformats.org/officeDocument/2006/relationships/image" Target="../media/image2.png"/><Relationship Id="rId4" Type="http://schemas.openxmlformats.org/officeDocument/2006/relationships/hyperlink" Target="https://www.fussballnationalmannschaft.net/" TargetMode="External"/><Relationship Id="rId5" Type="http://schemas.openxmlformats.org/officeDocument/2006/relationships/image" Target="../media/image3.png"/><Relationship Id="rId30" Type="http://schemas.openxmlformats.org/officeDocument/2006/relationships/image" Target="../media/image27.png"/><Relationship Id="rId31" Type="http://schemas.openxmlformats.org/officeDocument/2006/relationships/image" Target="../media/image28.gif"/><Relationship Id="rId32" Type="http://schemas.openxmlformats.org/officeDocument/2006/relationships/image" Target="../media/image29.gif"/><Relationship Id="rId9" Type="http://schemas.openxmlformats.org/officeDocument/2006/relationships/image" Target="../media/image6.png"/><Relationship Id="rId6" Type="http://schemas.openxmlformats.org/officeDocument/2006/relationships/hyperlink" Target="https://www.wmtrikots.info/" TargetMode="External"/><Relationship Id="rId7" Type="http://schemas.openxmlformats.org/officeDocument/2006/relationships/image" Target="../media/image4.png"/><Relationship Id="rId8" Type="http://schemas.openxmlformats.org/officeDocument/2006/relationships/image" Target="../media/image5.gif"/><Relationship Id="rId33" Type="http://schemas.openxmlformats.org/officeDocument/2006/relationships/image" Target="../media/image30.png"/><Relationship Id="rId34" Type="http://schemas.openxmlformats.org/officeDocument/2006/relationships/image" Target="../media/image31.png"/><Relationship Id="rId35" Type="http://schemas.openxmlformats.org/officeDocument/2006/relationships/image" Target="../media/image32.png"/><Relationship Id="rId36" Type="http://schemas.openxmlformats.org/officeDocument/2006/relationships/image" Target="../media/image33.png"/><Relationship Id="rId10" Type="http://schemas.openxmlformats.org/officeDocument/2006/relationships/image" Target="../media/image7.png"/><Relationship Id="rId11" Type="http://schemas.openxmlformats.org/officeDocument/2006/relationships/image" Target="../media/image8.gif"/><Relationship Id="rId12" Type="http://schemas.openxmlformats.org/officeDocument/2006/relationships/image" Target="../media/image9.png"/><Relationship Id="rId13" Type="http://schemas.openxmlformats.org/officeDocument/2006/relationships/image" Target="../media/image10.png"/><Relationship Id="rId14" Type="http://schemas.openxmlformats.org/officeDocument/2006/relationships/image" Target="../media/image11.gif"/><Relationship Id="rId15" Type="http://schemas.openxmlformats.org/officeDocument/2006/relationships/image" Target="../media/image12.png"/><Relationship Id="rId16" Type="http://schemas.openxmlformats.org/officeDocument/2006/relationships/image" Target="../media/image13.gif"/><Relationship Id="rId17" Type="http://schemas.openxmlformats.org/officeDocument/2006/relationships/image" Target="../media/image14.gif"/><Relationship Id="rId18" Type="http://schemas.openxmlformats.org/officeDocument/2006/relationships/image" Target="../media/image15.png"/><Relationship Id="rId19" Type="http://schemas.openxmlformats.org/officeDocument/2006/relationships/image" Target="../media/image16.png"/><Relationship Id="rId37" Type="http://schemas.openxmlformats.org/officeDocument/2006/relationships/image" Target="../media/image34.png"/><Relationship Id="rId38" Type="http://schemas.openxmlformats.org/officeDocument/2006/relationships/image" Target="../media/image35.gif"/><Relationship Id="rId39" Type="http://schemas.openxmlformats.org/officeDocument/2006/relationships/hyperlink" Target="https://www.fussball-wm-2018.com/" TargetMode="External"/><Relationship Id="rId40" Type="http://schemas.openxmlformats.org/officeDocument/2006/relationships/image" Target="../media/image36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31</xdr:row>
      <xdr:rowOff>6047</xdr:rowOff>
    </xdr:from>
    <xdr:ext cx="180978" cy="123828"/>
    <xdr:pic>
      <xdr:nvPicPr>
        <xdr:cNvPr id="44" name="Grafik 52">
          <a:extLst>
            <a:ext uri="{FF2B5EF4-FFF2-40B4-BE49-F238E27FC236}">
              <a16:creationId xmlns:a16="http://schemas.microsoft.com/office/drawing/2014/main" xmlns="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74667" y="679752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</xdr:col>
      <xdr:colOff>33760</xdr:colOff>
      <xdr:row>95</xdr:row>
      <xdr:rowOff>273</xdr:rowOff>
    </xdr:from>
    <xdr:to>
      <xdr:col>11</xdr:col>
      <xdr:colOff>368220</xdr:colOff>
      <xdr:row>97</xdr:row>
      <xdr:rowOff>133010</xdr:rowOff>
    </xdr:to>
    <xdr:pic>
      <xdr:nvPicPr>
        <xdr:cNvPr id="74" name="Grafik 7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5180" y="16669023"/>
          <a:ext cx="4404233" cy="608987"/>
        </a:xfrm>
        <a:prstGeom prst="rect">
          <a:avLst/>
        </a:prstGeom>
      </xdr:spPr>
    </xdr:pic>
    <xdr:clientData/>
  </xdr:twoCellAnchor>
  <xdr:twoCellAnchor editAs="oneCell">
    <xdr:from>
      <xdr:col>23</xdr:col>
      <xdr:colOff>205692</xdr:colOff>
      <xdr:row>92</xdr:row>
      <xdr:rowOff>184752</xdr:rowOff>
    </xdr:from>
    <xdr:to>
      <xdr:col>31</xdr:col>
      <xdr:colOff>237442</xdr:colOff>
      <xdr:row>96</xdr:row>
      <xdr:rowOff>251426</xdr:rowOff>
    </xdr:to>
    <xdr:pic>
      <xdr:nvPicPr>
        <xdr:cNvPr id="75" name="Grafik 7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xmlns="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16342" y="19996752"/>
          <a:ext cx="3308350" cy="866774"/>
        </a:xfrm>
        <a:prstGeom prst="rect">
          <a:avLst/>
        </a:prstGeom>
      </xdr:spPr>
    </xdr:pic>
    <xdr:clientData/>
  </xdr:twoCellAnchor>
  <xdr:twoCellAnchor editAs="oneCell">
    <xdr:from>
      <xdr:col>27</xdr:col>
      <xdr:colOff>308389</xdr:colOff>
      <xdr:row>96</xdr:row>
      <xdr:rowOff>206005</xdr:rowOff>
    </xdr:from>
    <xdr:to>
      <xdr:col>31</xdr:col>
      <xdr:colOff>321733</xdr:colOff>
      <xdr:row>98</xdr:row>
      <xdr:rowOff>198463</xdr:rowOff>
    </xdr:to>
    <xdr:pic>
      <xdr:nvPicPr>
        <xdr:cNvPr id="101" name="Picture 10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xmlns="" id="{FF00716B-9D3D-41AD-B9A2-8B971744B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9507" y="20869652"/>
          <a:ext cx="1862314" cy="5527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13</xdr:row>
      <xdr:rowOff>7620</xdr:rowOff>
    </xdr:from>
    <xdr:ext cx="180978" cy="123828"/>
    <xdr:pic>
      <xdr:nvPicPr>
        <xdr:cNvPr id="102" name="Grafik 42">
          <a:extLst>
            <a:ext uri="{FF2B5EF4-FFF2-40B4-BE49-F238E27FC236}">
              <a16:creationId xmlns:a16="http://schemas.microsoft.com/office/drawing/2014/main" xmlns="" id="{AE497CDE-2420-4B70-BBDE-60559FF9A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331720" y="30175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14</xdr:row>
      <xdr:rowOff>7620</xdr:rowOff>
    </xdr:from>
    <xdr:to>
      <xdr:col>5</xdr:col>
      <xdr:colOff>187100</xdr:colOff>
      <xdr:row>14</xdr:row>
      <xdr:rowOff>135636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xmlns="" id="{7C3F8FA9-E7E3-42EA-83CB-BBCDE2071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32004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7620</xdr:colOff>
      <xdr:row>15</xdr:row>
      <xdr:rowOff>7620</xdr:rowOff>
    </xdr:from>
    <xdr:ext cx="180978" cy="123828"/>
    <xdr:pic>
      <xdr:nvPicPr>
        <xdr:cNvPr id="106" name="Grafik 42">
          <a:extLst>
            <a:ext uri="{FF2B5EF4-FFF2-40B4-BE49-F238E27FC236}">
              <a16:creationId xmlns:a16="http://schemas.microsoft.com/office/drawing/2014/main" xmlns="" id="{DCF6CF29-2D9D-4DD0-930B-1BDEA93068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339340" y="33832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7620</xdr:colOff>
      <xdr:row>16</xdr:row>
      <xdr:rowOff>0</xdr:rowOff>
    </xdr:from>
    <xdr:to>
      <xdr:col>5</xdr:col>
      <xdr:colOff>194720</xdr:colOff>
      <xdr:row>16</xdr:row>
      <xdr:rowOff>128016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xmlns="" id="{2890AA65-2A0B-4AC8-A5BF-30942E8A7E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3558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152400</xdr:colOff>
      <xdr:row>48</xdr:row>
      <xdr:rowOff>15240</xdr:rowOff>
    </xdr:from>
    <xdr:ext cx="180978" cy="123828"/>
    <xdr:pic>
      <xdr:nvPicPr>
        <xdr:cNvPr id="108" name="Grafik 31">
          <a:extLst>
            <a:ext uri="{FF2B5EF4-FFF2-40B4-BE49-F238E27FC236}">
              <a16:creationId xmlns:a16="http://schemas.microsoft.com/office/drawing/2014/main" xmlns="" id="{FDB31CE3-CAD3-47D1-A718-0FF7C30E8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640580" y="103403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17</xdr:row>
      <xdr:rowOff>7620</xdr:rowOff>
    </xdr:from>
    <xdr:to>
      <xdr:col>5</xdr:col>
      <xdr:colOff>187100</xdr:colOff>
      <xdr:row>17</xdr:row>
      <xdr:rowOff>135636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xmlns="" id="{634FC653-0FDB-4BC1-A1AD-CABCB6D73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37490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7620</xdr:colOff>
      <xdr:row>18</xdr:row>
      <xdr:rowOff>30480</xdr:rowOff>
    </xdr:from>
    <xdr:to>
      <xdr:col>5</xdr:col>
      <xdr:colOff>194720</xdr:colOff>
      <xdr:row>18</xdr:row>
      <xdr:rowOff>158496</xdr:rowOff>
    </xdr:to>
    <xdr:pic>
      <xdr:nvPicPr>
        <xdr:cNvPr id="110" name="Picture 109">
          <a:extLst>
            <a:ext uri="{FF2B5EF4-FFF2-40B4-BE49-F238E27FC236}">
              <a16:creationId xmlns:a16="http://schemas.microsoft.com/office/drawing/2014/main" xmlns="" id="{6607D6EF-1747-4599-871E-4037756D6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9340" y="39547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13</xdr:row>
      <xdr:rowOff>7620</xdr:rowOff>
    </xdr:from>
    <xdr:to>
      <xdr:col>22</xdr:col>
      <xdr:colOff>187100</xdr:colOff>
      <xdr:row>13</xdr:row>
      <xdr:rowOff>135636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xmlns="" id="{8100BACA-9EFE-4CBB-AA26-902722E91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30175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4043</xdr:colOff>
      <xdr:row>14</xdr:row>
      <xdr:rowOff>5598</xdr:rowOff>
    </xdr:from>
    <xdr:ext cx="180978" cy="123828"/>
    <xdr:pic>
      <xdr:nvPicPr>
        <xdr:cNvPr id="113" name="Grafik 94">
          <a:extLst>
            <a:ext uri="{FF2B5EF4-FFF2-40B4-BE49-F238E27FC236}">
              <a16:creationId xmlns:a16="http://schemas.microsoft.com/office/drawing/2014/main" xmlns="" id="{45FA938F-9699-45AE-AD88-48D6336D7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72783" y="319837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4043</xdr:colOff>
      <xdr:row>15</xdr:row>
      <xdr:rowOff>5598</xdr:rowOff>
    </xdr:from>
    <xdr:ext cx="180978" cy="123828"/>
    <xdr:pic>
      <xdr:nvPicPr>
        <xdr:cNvPr id="114" name="Grafik 94">
          <a:extLst>
            <a:ext uri="{FF2B5EF4-FFF2-40B4-BE49-F238E27FC236}">
              <a16:creationId xmlns:a16="http://schemas.microsoft.com/office/drawing/2014/main" xmlns="" id="{3BB397E8-2599-49F9-BD1A-BEC4DCD24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8972783" y="338125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5781</xdr:colOff>
      <xdr:row>16</xdr:row>
      <xdr:rowOff>2235</xdr:rowOff>
    </xdr:from>
    <xdr:to>
      <xdr:col>22</xdr:col>
      <xdr:colOff>192881</xdr:colOff>
      <xdr:row>16</xdr:row>
      <xdr:rowOff>130251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xmlns="" id="{943EECE5-7149-492A-9CD2-FC5EE6C29D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448" y="3552187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6048</xdr:colOff>
      <xdr:row>18</xdr:row>
      <xdr:rowOff>12100</xdr:rowOff>
    </xdr:from>
    <xdr:ext cx="180978" cy="123828"/>
    <xdr:pic>
      <xdr:nvPicPr>
        <xdr:cNvPr id="116" name="Grafik 49">
          <a:extLst>
            <a:ext uri="{FF2B5EF4-FFF2-40B4-BE49-F238E27FC236}">
              <a16:creationId xmlns:a16="http://schemas.microsoft.com/office/drawing/2014/main" xmlns="" id="{1F455271-AE10-4A1F-8993-105D21F05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8980715" y="392491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6048</xdr:colOff>
      <xdr:row>17</xdr:row>
      <xdr:rowOff>6048</xdr:rowOff>
    </xdr:from>
    <xdr:to>
      <xdr:col>22</xdr:col>
      <xdr:colOff>193148</xdr:colOff>
      <xdr:row>17</xdr:row>
      <xdr:rowOff>134064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xmlns="" id="{E34CD351-7D89-4A24-9E3D-AA006D3A8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5" y="3737429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30</xdr:row>
      <xdr:rowOff>0</xdr:rowOff>
    </xdr:from>
    <xdr:ext cx="180978" cy="123828"/>
    <xdr:pic>
      <xdr:nvPicPr>
        <xdr:cNvPr id="119" name="Grafik 27">
          <a:extLst>
            <a:ext uri="{FF2B5EF4-FFF2-40B4-BE49-F238E27FC236}">
              <a16:creationId xmlns:a16="http://schemas.microsoft.com/office/drawing/2014/main" xmlns="" id="{F13DB061-E7D6-4ECB-82CA-340E068A2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334381" y="6610048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31</xdr:row>
      <xdr:rowOff>0</xdr:rowOff>
    </xdr:from>
    <xdr:to>
      <xdr:col>5</xdr:col>
      <xdr:colOff>187100</xdr:colOff>
      <xdr:row>31</xdr:row>
      <xdr:rowOff>128016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xmlns="" id="{F7CD1A21-3016-4D5F-925A-55006B6D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6791476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</xdr:row>
      <xdr:rowOff>181428</xdr:rowOff>
    </xdr:from>
    <xdr:to>
      <xdr:col>5</xdr:col>
      <xdr:colOff>182164</xdr:colOff>
      <xdr:row>35</xdr:row>
      <xdr:rowOff>125897</xdr:rowOff>
    </xdr:to>
    <xdr:pic>
      <xdr:nvPicPr>
        <xdr:cNvPr id="124" name="Picture 123">
          <a:extLst>
            <a:ext uri="{FF2B5EF4-FFF2-40B4-BE49-F238E27FC236}">
              <a16:creationId xmlns:a16="http://schemas.microsoft.com/office/drawing/2014/main" xmlns="" id="{6800C48B-5FCA-4440-97D0-A8CB2594D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7517190"/>
          <a:ext cx="182164" cy="1258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34</xdr:row>
      <xdr:rowOff>0</xdr:rowOff>
    </xdr:from>
    <xdr:to>
      <xdr:col>5</xdr:col>
      <xdr:colOff>187100</xdr:colOff>
      <xdr:row>34</xdr:row>
      <xdr:rowOff>128016</xdr:rowOff>
    </xdr:to>
    <xdr:pic>
      <xdr:nvPicPr>
        <xdr:cNvPr id="128" name="Picture 127">
          <a:extLst>
            <a:ext uri="{FF2B5EF4-FFF2-40B4-BE49-F238E27FC236}">
              <a16:creationId xmlns:a16="http://schemas.microsoft.com/office/drawing/2014/main" xmlns="" id="{2269A68E-D866-4E67-AC9A-694CFC776A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733576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33</xdr:row>
      <xdr:rowOff>0</xdr:rowOff>
    </xdr:from>
    <xdr:ext cx="180978" cy="123828"/>
    <xdr:pic>
      <xdr:nvPicPr>
        <xdr:cNvPr id="129" name="Grafik 27">
          <a:extLst>
            <a:ext uri="{FF2B5EF4-FFF2-40B4-BE49-F238E27FC236}">
              <a16:creationId xmlns:a16="http://schemas.microsoft.com/office/drawing/2014/main" xmlns="" id="{6E54666E-DB9F-4E45-94BC-5E2413A1D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2334381" y="715433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32</xdr:row>
      <xdr:rowOff>0</xdr:rowOff>
    </xdr:from>
    <xdr:to>
      <xdr:col>5</xdr:col>
      <xdr:colOff>187100</xdr:colOff>
      <xdr:row>32</xdr:row>
      <xdr:rowOff>128016</xdr:rowOff>
    </xdr:to>
    <xdr:pic>
      <xdr:nvPicPr>
        <xdr:cNvPr id="130" name="Picture 129">
          <a:extLst>
            <a:ext uri="{FF2B5EF4-FFF2-40B4-BE49-F238E27FC236}">
              <a16:creationId xmlns:a16="http://schemas.microsoft.com/office/drawing/2014/main" xmlns="" id="{EE5E8E99-EC5B-4D01-B088-4B126C58F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6972905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34</xdr:row>
      <xdr:rowOff>181428</xdr:rowOff>
    </xdr:from>
    <xdr:ext cx="180978" cy="123828"/>
    <xdr:pic>
      <xdr:nvPicPr>
        <xdr:cNvPr id="131" name="Grafik 98">
          <a:extLst>
            <a:ext uri="{FF2B5EF4-FFF2-40B4-BE49-F238E27FC236}">
              <a16:creationId xmlns:a16="http://schemas.microsoft.com/office/drawing/2014/main" xmlns="" id="{46BBEC4A-D90C-4D4F-A57B-F292C1499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8974667" y="751719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0</xdr:colOff>
      <xdr:row>30</xdr:row>
      <xdr:rowOff>0</xdr:rowOff>
    </xdr:from>
    <xdr:to>
      <xdr:col>22</xdr:col>
      <xdr:colOff>187100</xdr:colOff>
      <xdr:row>30</xdr:row>
      <xdr:rowOff>128016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xmlns="" id="{711640B8-91D6-4355-9843-1C0059BCA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6610048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33</xdr:row>
      <xdr:rowOff>0</xdr:rowOff>
    </xdr:from>
    <xdr:to>
      <xdr:col>22</xdr:col>
      <xdr:colOff>187100</xdr:colOff>
      <xdr:row>33</xdr:row>
      <xdr:rowOff>128016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xmlns="" id="{C12D7F6F-8026-460D-A599-50AB3F5D9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7154333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34</xdr:row>
      <xdr:rowOff>0</xdr:rowOff>
    </xdr:from>
    <xdr:to>
      <xdr:col>22</xdr:col>
      <xdr:colOff>187100</xdr:colOff>
      <xdr:row>34</xdr:row>
      <xdr:rowOff>128016</xdr:rowOff>
    </xdr:to>
    <xdr:pic>
      <xdr:nvPicPr>
        <xdr:cNvPr id="136" name="Picture 135">
          <a:extLst>
            <a:ext uri="{FF2B5EF4-FFF2-40B4-BE49-F238E27FC236}">
              <a16:creationId xmlns:a16="http://schemas.microsoft.com/office/drawing/2014/main" xmlns="" id="{A931F4BA-16FD-43BB-9AC8-5EAEC6DEB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733576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32</xdr:row>
      <xdr:rowOff>0</xdr:rowOff>
    </xdr:from>
    <xdr:to>
      <xdr:col>22</xdr:col>
      <xdr:colOff>187100</xdr:colOff>
      <xdr:row>32</xdr:row>
      <xdr:rowOff>128016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xmlns="" id="{67630554-452B-42A4-A506-7509FB1D3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6972905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47</xdr:row>
      <xdr:rowOff>0</xdr:rowOff>
    </xdr:from>
    <xdr:to>
      <xdr:col>5</xdr:col>
      <xdr:colOff>187100</xdr:colOff>
      <xdr:row>47</xdr:row>
      <xdr:rowOff>128016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xmlns="" id="{C41759C7-ED2A-4A24-91E4-756B1CF82F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141857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52</xdr:row>
      <xdr:rowOff>0</xdr:rowOff>
    </xdr:from>
    <xdr:ext cx="180978" cy="123828"/>
    <xdr:pic>
      <xdr:nvPicPr>
        <xdr:cNvPr id="143" name="Grafik 31">
          <a:extLst>
            <a:ext uri="{FF2B5EF4-FFF2-40B4-BE49-F238E27FC236}">
              <a16:creationId xmlns:a16="http://schemas.microsoft.com/office/drawing/2014/main" xmlns="" id="{89A5813F-A472-4C11-BEED-15D8F3753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2334381" y="11061095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48</xdr:row>
      <xdr:rowOff>0</xdr:rowOff>
    </xdr:from>
    <xdr:to>
      <xdr:col>5</xdr:col>
      <xdr:colOff>187100</xdr:colOff>
      <xdr:row>48</xdr:row>
      <xdr:rowOff>128016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xmlns="" id="{DD4D6778-0714-460B-BC12-6BD0B8F1AB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323286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49</xdr:row>
      <xdr:rowOff>0</xdr:rowOff>
    </xdr:from>
    <xdr:to>
      <xdr:col>5</xdr:col>
      <xdr:colOff>187100</xdr:colOff>
      <xdr:row>49</xdr:row>
      <xdr:rowOff>128016</xdr:rowOff>
    </xdr:to>
    <xdr:pic>
      <xdr:nvPicPr>
        <xdr:cNvPr id="146" name="Picture 145">
          <a:extLst>
            <a:ext uri="{FF2B5EF4-FFF2-40B4-BE49-F238E27FC236}">
              <a16:creationId xmlns:a16="http://schemas.microsoft.com/office/drawing/2014/main" xmlns="" id="{F36A5BED-3461-4B08-9C86-AD29E70D7A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504714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50</xdr:row>
      <xdr:rowOff>0</xdr:rowOff>
    </xdr:from>
    <xdr:to>
      <xdr:col>5</xdr:col>
      <xdr:colOff>187100</xdr:colOff>
      <xdr:row>50</xdr:row>
      <xdr:rowOff>128016</xdr:rowOff>
    </xdr:to>
    <xdr:pic>
      <xdr:nvPicPr>
        <xdr:cNvPr id="148" name="Picture 147">
          <a:extLst>
            <a:ext uri="{FF2B5EF4-FFF2-40B4-BE49-F238E27FC236}">
              <a16:creationId xmlns:a16="http://schemas.microsoft.com/office/drawing/2014/main" xmlns="" id="{9F792EBB-3D31-4F0C-9C92-BD1E79A93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686143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50</xdr:row>
      <xdr:rowOff>181428</xdr:rowOff>
    </xdr:from>
    <xdr:to>
      <xdr:col>5</xdr:col>
      <xdr:colOff>187100</xdr:colOff>
      <xdr:row>51</xdr:row>
      <xdr:rowOff>128016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xmlns="" id="{2A160B98-780B-49EB-BCF9-EE2424CE8C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4381" y="10867571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48</xdr:row>
      <xdr:rowOff>0</xdr:rowOff>
    </xdr:from>
    <xdr:ext cx="180978" cy="123828"/>
    <xdr:pic>
      <xdr:nvPicPr>
        <xdr:cNvPr id="150" name="Grafik 93">
          <a:extLst>
            <a:ext uri="{FF2B5EF4-FFF2-40B4-BE49-F238E27FC236}">
              <a16:creationId xmlns:a16="http://schemas.microsoft.com/office/drawing/2014/main" xmlns="" id="{D92EA5FA-9898-45A6-9310-5AE2CC11D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8974667" y="10323286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47</xdr:row>
      <xdr:rowOff>0</xdr:rowOff>
    </xdr:from>
    <xdr:ext cx="180978" cy="123828"/>
    <xdr:pic>
      <xdr:nvPicPr>
        <xdr:cNvPr id="151" name="Grafik 36">
          <a:extLst>
            <a:ext uri="{FF2B5EF4-FFF2-40B4-BE49-F238E27FC236}">
              <a16:creationId xmlns:a16="http://schemas.microsoft.com/office/drawing/2014/main" xmlns="" id="{9671B108-2523-4CC9-B95C-F26EBB741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974667" y="10141857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50</xdr:row>
      <xdr:rowOff>0</xdr:rowOff>
    </xdr:from>
    <xdr:ext cx="180978" cy="123828"/>
    <xdr:pic>
      <xdr:nvPicPr>
        <xdr:cNvPr id="152" name="Grafik 36">
          <a:extLst>
            <a:ext uri="{FF2B5EF4-FFF2-40B4-BE49-F238E27FC236}">
              <a16:creationId xmlns:a16="http://schemas.microsoft.com/office/drawing/2014/main" xmlns="" id="{FE1E232C-086C-4A43-B188-36CA1102D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8974667" y="10686143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22</xdr:col>
      <xdr:colOff>0</xdr:colOff>
      <xdr:row>52</xdr:row>
      <xdr:rowOff>0</xdr:rowOff>
    </xdr:from>
    <xdr:to>
      <xdr:col>22</xdr:col>
      <xdr:colOff>188260</xdr:colOff>
      <xdr:row>52</xdr:row>
      <xdr:rowOff>128809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xmlns="" id="{B942B298-7001-4D5A-A2F6-536539FAD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1061095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49</xdr:row>
      <xdr:rowOff>0</xdr:rowOff>
    </xdr:from>
    <xdr:to>
      <xdr:col>22</xdr:col>
      <xdr:colOff>187100</xdr:colOff>
      <xdr:row>49</xdr:row>
      <xdr:rowOff>128016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xmlns="" id="{C79D87C9-B74A-40A7-8481-A08D78D1A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0504714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50</xdr:row>
      <xdr:rowOff>181428</xdr:rowOff>
    </xdr:from>
    <xdr:to>
      <xdr:col>22</xdr:col>
      <xdr:colOff>187100</xdr:colOff>
      <xdr:row>51</xdr:row>
      <xdr:rowOff>128016</xdr:rowOff>
    </xdr:to>
    <xdr:pic>
      <xdr:nvPicPr>
        <xdr:cNvPr id="156" name="Picture 155">
          <a:extLst>
            <a:ext uri="{FF2B5EF4-FFF2-40B4-BE49-F238E27FC236}">
              <a16:creationId xmlns:a16="http://schemas.microsoft.com/office/drawing/2014/main" xmlns="" id="{B390CD33-F8FE-4105-A305-BE7E1669B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4667" y="10867571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0</xdr:colOff>
      <xdr:row>64</xdr:row>
      <xdr:rowOff>0</xdr:rowOff>
    </xdr:from>
    <xdr:ext cx="180978" cy="123828"/>
    <xdr:pic>
      <xdr:nvPicPr>
        <xdr:cNvPr id="103" name="Grafik 83">
          <a:extLst>
            <a:ext uri="{FF2B5EF4-FFF2-40B4-BE49-F238E27FC236}">
              <a16:creationId xmlns:a16="http://schemas.microsoft.com/office/drawing/2014/main" xmlns="" id="{D43F5DC3-B8F8-4AD0-BE00-89558BFA0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331720" y="135712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66</xdr:row>
      <xdr:rowOff>0</xdr:rowOff>
    </xdr:from>
    <xdr:ext cx="180978" cy="123828"/>
    <xdr:pic>
      <xdr:nvPicPr>
        <xdr:cNvPr id="104" name="Grafik 83">
          <a:extLst>
            <a:ext uri="{FF2B5EF4-FFF2-40B4-BE49-F238E27FC236}">
              <a16:creationId xmlns:a16="http://schemas.microsoft.com/office/drawing/2014/main" xmlns="" id="{6F3A6A22-6072-425F-8E6F-B1C4310C8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2331720" y="139369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67</xdr:row>
      <xdr:rowOff>0</xdr:rowOff>
    </xdr:from>
    <xdr:ext cx="180978" cy="123828"/>
    <xdr:pic>
      <xdr:nvPicPr>
        <xdr:cNvPr id="120" name="Grafik 41">
          <a:extLst>
            <a:ext uri="{FF2B5EF4-FFF2-40B4-BE49-F238E27FC236}">
              <a16:creationId xmlns:a16="http://schemas.microsoft.com/office/drawing/2014/main" xmlns="" id="{4A356212-48DA-4FF7-88E7-660607181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31720" y="141198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5</xdr:col>
      <xdr:colOff>0</xdr:colOff>
      <xdr:row>68</xdr:row>
      <xdr:rowOff>0</xdr:rowOff>
    </xdr:from>
    <xdr:ext cx="180978" cy="123828"/>
    <xdr:pic>
      <xdr:nvPicPr>
        <xdr:cNvPr id="121" name="Grafik 41">
          <a:extLst>
            <a:ext uri="{FF2B5EF4-FFF2-40B4-BE49-F238E27FC236}">
              <a16:creationId xmlns:a16="http://schemas.microsoft.com/office/drawing/2014/main" xmlns="" id="{1FA09304-A30F-46BA-BB7A-20552A85D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2331720" y="143027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5</xdr:col>
      <xdr:colOff>0</xdr:colOff>
      <xdr:row>69</xdr:row>
      <xdr:rowOff>0</xdr:rowOff>
    </xdr:from>
    <xdr:to>
      <xdr:col>5</xdr:col>
      <xdr:colOff>187100</xdr:colOff>
      <xdr:row>69</xdr:row>
      <xdr:rowOff>128016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xmlns="" id="{C5541A67-F840-4651-BF92-1038D3C2B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144856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65</xdr:row>
      <xdr:rowOff>0</xdr:rowOff>
    </xdr:from>
    <xdr:to>
      <xdr:col>5</xdr:col>
      <xdr:colOff>187100</xdr:colOff>
      <xdr:row>65</xdr:row>
      <xdr:rowOff>128016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xmlns="" id="{F845963D-B708-4643-8AE2-058638C67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31720" y="137541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64</xdr:row>
      <xdr:rowOff>0</xdr:rowOff>
    </xdr:from>
    <xdr:to>
      <xdr:col>22</xdr:col>
      <xdr:colOff>187100</xdr:colOff>
      <xdr:row>64</xdr:row>
      <xdr:rowOff>128016</xdr:rowOff>
    </xdr:to>
    <xdr:pic>
      <xdr:nvPicPr>
        <xdr:cNvPr id="134" name="Picture 133">
          <a:extLst>
            <a:ext uri="{FF2B5EF4-FFF2-40B4-BE49-F238E27FC236}">
              <a16:creationId xmlns:a16="http://schemas.microsoft.com/office/drawing/2014/main" xmlns="" id="{82BCD80B-4224-409C-A86D-374227832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35712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66</xdr:row>
      <xdr:rowOff>0</xdr:rowOff>
    </xdr:from>
    <xdr:to>
      <xdr:col>22</xdr:col>
      <xdr:colOff>187100</xdr:colOff>
      <xdr:row>66</xdr:row>
      <xdr:rowOff>128016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xmlns="" id="{1DA20F9A-43DD-4A7B-A640-3FF1D55A6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39369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68</xdr:row>
      <xdr:rowOff>0</xdr:rowOff>
    </xdr:from>
    <xdr:to>
      <xdr:col>22</xdr:col>
      <xdr:colOff>187100</xdr:colOff>
      <xdr:row>68</xdr:row>
      <xdr:rowOff>128016</xdr:rowOff>
    </xdr:to>
    <xdr:pic>
      <xdr:nvPicPr>
        <xdr:cNvPr id="140" name="Picture 139">
          <a:extLst>
            <a:ext uri="{FF2B5EF4-FFF2-40B4-BE49-F238E27FC236}">
              <a16:creationId xmlns:a16="http://schemas.microsoft.com/office/drawing/2014/main" xmlns="" id="{06074411-6D85-4640-BF13-CE24B06A8D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43027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69</xdr:row>
      <xdr:rowOff>0</xdr:rowOff>
    </xdr:from>
    <xdr:to>
      <xdr:col>22</xdr:col>
      <xdr:colOff>187100</xdr:colOff>
      <xdr:row>69</xdr:row>
      <xdr:rowOff>128016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xmlns="" id="{D648D0B7-290C-458C-B8F8-BB4C9A59D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68740" y="144856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0</xdr:colOff>
      <xdr:row>67</xdr:row>
      <xdr:rowOff>0</xdr:rowOff>
    </xdr:from>
    <xdr:ext cx="180978" cy="123828"/>
    <xdr:pic>
      <xdr:nvPicPr>
        <xdr:cNvPr id="154" name="Grafik 149">
          <a:extLst>
            <a:ext uri="{FF2B5EF4-FFF2-40B4-BE49-F238E27FC236}">
              <a16:creationId xmlns:a16="http://schemas.microsoft.com/office/drawing/2014/main" xmlns="" id="{A044584C-1E82-4591-91AC-0CC13C2F0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8968740" y="141198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22</xdr:col>
      <xdr:colOff>0</xdr:colOff>
      <xdr:row>65</xdr:row>
      <xdr:rowOff>0</xdr:rowOff>
    </xdr:from>
    <xdr:ext cx="180978" cy="123828"/>
    <xdr:pic>
      <xdr:nvPicPr>
        <xdr:cNvPr id="157" name="Grafik 149">
          <a:extLst>
            <a:ext uri="{FF2B5EF4-FFF2-40B4-BE49-F238E27FC236}">
              <a16:creationId xmlns:a16="http://schemas.microsoft.com/office/drawing/2014/main" xmlns="" id="{D3AEB0EE-6A32-44C7-9E6B-51A8F7F1C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8968740" y="137541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198120</xdr:colOff>
      <xdr:row>13</xdr:row>
      <xdr:rowOff>7620</xdr:rowOff>
    </xdr:from>
    <xdr:to>
      <xdr:col>11</xdr:col>
      <xdr:colOff>385220</xdr:colOff>
      <xdr:row>13</xdr:row>
      <xdr:rowOff>135636</xdr:rowOff>
    </xdr:to>
    <xdr:pic>
      <xdr:nvPicPr>
        <xdr:cNvPr id="158" name="Picture 157">
          <a:extLst>
            <a:ext uri="{FF2B5EF4-FFF2-40B4-BE49-F238E27FC236}">
              <a16:creationId xmlns:a16="http://schemas.microsoft.com/office/drawing/2014/main" xmlns="" id="{B3679D64-BB84-4DA1-AB44-37395D81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0175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198120</xdr:colOff>
      <xdr:row>16</xdr:row>
      <xdr:rowOff>15240</xdr:rowOff>
    </xdr:from>
    <xdr:to>
      <xdr:col>11</xdr:col>
      <xdr:colOff>385220</xdr:colOff>
      <xdr:row>16</xdr:row>
      <xdr:rowOff>143256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xmlns="" id="{216B24BA-EA06-454A-95CF-4460D9A51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5737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205740</xdr:colOff>
      <xdr:row>14</xdr:row>
      <xdr:rowOff>15240</xdr:rowOff>
    </xdr:from>
    <xdr:to>
      <xdr:col>11</xdr:col>
      <xdr:colOff>392840</xdr:colOff>
      <xdr:row>14</xdr:row>
      <xdr:rowOff>143256</xdr:rowOff>
    </xdr:to>
    <xdr:pic>
      <xdr:nvPicPr>
        <xdr:cNvPr id="160" name="Picture 159">
          <a:extLst>
            <a:ext uri="{FF2B5EF4-FFF2-40B4-BE49-F238E27FC236}">
              <a16:creationId xmlns:a16="http://schemas.microsoft.com/office/drawing/2014/main" xmlns="" id="{F34DA243-94A8-4F78-B66B-9A1BD1C042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32080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205740</xdr:colOff>
      <xdr:row>15</xdr:row>
      <xdr:rowOff>15240</xdr:rowOff>
    </xdr:from>
    <xdr:to>
      <xdr:col>11</xdr:col>
      <xdr:colOff>392840</xdr:colOff>
      <xdr:row>15</xdr:row>
      <xdr:rowOff>143256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xmlns="" id="{80163850-166F-4A04-B059-6CCC5B185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3920" y="33909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198120</xdr:colOff>
      <xdr:row>18</xdr:row>
      <xdr:rowOff>15240</xdr:rowOff>
    </xdr:from>
    <xdr:to>
      <xdr:col>11</xdr:col>
      <xdr:colOff>385220</xdr:colOff>
      <xdr:row>18</xdr:row>
      <xdr:rowOff>143256</xdr:rowOff>
    </xdr:to>
    <xdr:pic>
      <xdr:nvPicPr>
        <xdr:cNvPr id="162" name="Picture 161">
          <a:extLst>
            <a:ext uri="{FF2B5EF4-FFF2-40B4-BE49-F238E27FC236}">
              <a16:creationId xmlns:a16="http://schemas.microsoft.com/office/drawing/2014/main" xmlns="" id="{C3A73BD1-3FC4-4494-94B5-7C76E4A24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3939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205740</xdr:colOff>
      <xdr:row>17</xdr:row>
      <xdr:rowOff>15240</xdr:rowOff>
    </xdr:from>
    <xdr:ext cx="180978" cy="123828"/>
    <xdr:pic>
      <xdr:nvPicPr>
        <xdr:cNvPr id="163" name="Grafik 42">
          <a:extLst>
            <a:ext uri="{FF2B5EF4-FFF2-40B4-BE49-F238E27FC236}">
              <a16:creationId xmlns:a16="http://schemas.microsoft.com/office/drawing/2014/main" xmlns="" id="{927C44F6-C08F-47E3-B4A7-24B45942B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693920" y="37566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266700</xdr:colOff>
      <xdr:row>13</xdr:row>
      <xdr:rowOff>22860</xdr:rowOff>
    </xdr:from>
    <xdr:to>
      <xdr:col>28</xdr:col>
      <xdr:colOff>453800</xdr:colOff>
      <xdr:row>13</xdr:row>
      <xdr:rowOff>150876</xdr:rowOff>
    </xdr:to>
    <xdr:pic>
      <xdr:nvPicPr>
        <xdr:cNvPr id="164" name="Picture 163">
          <a:extLst>
            <a:ext uri="{FF2B5EF4-FFF2-40B4-BE49-F238E27FC236}">
              <a16:creationId xmlns:a16="http://schemas.microsoft.com/office/drawing/2014/main" xmlns="" id="{E141498E-8601-4F87-A0F8-F80C007E1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1900" y="30327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266700</xdr:colOff>
      <xdr:row>14</xdr:row>
      <xdr:rowOff>22860</xdr:rowOff>
    </xdr:from>
    <xdr:ext cx="180978" cy="123828"/>
    <xdr:pic>
      <xdr:nvPicPr>
        <xdr:cNvPr id="165" name="Grafik 49">
          <a:extLst>
            <a:ext uri="{FF2B5EF4-FFF2-40B4-BE49-F238E27FC236}">
              <a16:creationId xmlns:a16="http://schemas.microsoft.com/office/drawing/2014/main" xmlns="" id="{B9E5E1B2-9D8A-4E40-A1A1-E63AE7486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391900" y="32156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259080</xdr:colOff>
      <xdr:row>15</xdr:row>
      <xdr:rowOff>15240</xdr:rowOff>
    </xdr:from>
    <xdr:to>
      <xdr:col>28</xdr:col>
      <xdr:colOff>446180</xdr:colOff>
      <xdr:row>15</xdr:row>
      <xdr:rowOff>143256</xdr:rowOff>
    </xdr:to>
    <xdr:pic>
      <xdr:nvPicPr>
        <xdr:cNvPr id="166" name="Picture 165">
          <a:extLst>
            <a:ext uri="{FF2B5EF4-FFF2-40B4-BE49-F238E27FC236}">
              <a16:creationId xmlns:a16="http://schemas.microsoft.com/office/drawing/2014/main" xmlns="" id="{35A3B668-FA6B-431B-8697-52BCAD47A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4280" y="33909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259080</xdr:colOff>
      <xdr:row>16</xdr:row>
      <xdr:rowOff>15240</xdr:rowOff>
    </xdr:from>
    <xdr:ext cx="180978" cy="123828"/>
    <xdr:pic>
      <xdr:nvPicPr>
        <xdr:cNvPr id="167" name="Grafik 49">
          <a:extLst>
            <a:ext uri="{FF2B5EF4-FFF2-40B4-BE49-F238E27FC236}">
              <a16:creationId xmlns:a16="http://schemas.microsoft.com/office/drawing/2014/main" xmlns="" id="{6A21EB1D-7A95-4CAC-8DCA-AAD97EA27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11384280" y="35737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266700</xdr:colOff>
      <xdr:row>17</xdr:row>
      <xdr:rowOff>15240</xdr:rowOff>
    </xdr:from>
    <xdr:ext cx="180978" cy="123828"/>
    <xdr:pic>
      <xdr:nvPicPr>
        <xdr:cNvPr id="168" name="Grafik 94">
          <a:extLst>
            <a:ext uri="{FF2B5EF4-FFF2-40B4-BE49-F238E27FC236}">
              <a16:creationId xmlns:a16="http://schemas.microsoft.com/office/drawing/2014/main" xmlns="" id="{6A576E27-EA48-4FAD-BE01-5A85EBD11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11391900" y="37566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259080</xdr:colOff>
      <xdr:row>18</xdr:row>
      <xdr:rowOff>15240</xdr:rowOff>
    </xdr:from>
    <xdr:to>
      <xdr:col>28</xdr:col>
      <xdr:colOff>446180</xdr:colOff>
      <xdr:row>18</xdr:row>
      <xdr:rowOff>143256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xmlns="" id="{32AB5302-D7FD-4E75-A2BF-5D73D724E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4280" y="39395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160020</xdr:colOff>
      <xdr:row>30</xdr:row>
      <xdr:rowOff>15240</xdr:rowOff>
    </xdr:from>
    <xdr:to>
      <xdr:col>11</xdr:col>
      <xdr:colOff>342184</xdr:colOff>
      <xdr:row>30</xdr:row>
      <xdr:rowOff>142589</xdr:rowOff>
    </xdr:to>
    <xdr:pic>
      <xdr:nvPicPr>
        <xdr:cNvPr id="170" name="Picture 169">
          <a:extLst>
            <a:ext uri="{FF2B5EF4-FFF2-40B4-BE49-F238E27FC236}">
              <a16:creationId xmlns:a16="http://schemas.microsoft.com/office/drawing/2014/main" xmlns="" id="{03AAFBE6-727F-4B2F-9597-3F9B0A973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6621780"/>
          <a:ext cx="182164" cy="127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162681</xdr:colOff>
      <xdr:row>31</xdr:row>
      <xdr:rowOff>5322</xdr:rowOff>
    </xdr:from>
    <xdr:to>
      <xdr:col>11</xdr:col>
      <xdr:colOff>349781</xdr:colOff>
      <xdr:row>31</xdr:row>
      <xdr:rowOff>133338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xmlns="" id="{AE51BF4A-8A3E-46F6-A4A0-4D35CF1E20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0861" y="6794742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175260</xdr:colOff>
      <xdr:row>32</xdr:row>
      <xdr:rowOff>15240</xdr:rowOff>
    </xdr:from>
    <xdr:to>
      <xdr:col>11</xdr:col>
      <xdr:colOff>357424</xdr:colOff>
      <xdr:row>32</xdr:row>
      <xdr:rowOff>142589</xdr:rowOff>
    </xdr:to>
    <xdr:pic>
      <xdr:nvPicPr>
        <xdr:cNvPr id="172" name="Picture 171">
          <a:extLst>
            <a:ext uri="{FF2B5EF4-FFF2-40B4-BE49-F238E27FC236}">
              <a16:creationId xmlns:a16="http://schemas.microsoft.com/office/drawing/2014/main" xmlns="" id="{44B8BFE9-2F3F-4E64-88A1-FB4B215DEC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6987540"/>
          <a:ext cx="182164" cy="127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175260</xdr:colOff>
      <xdr:row>33</xdr:row>
      <xdr:rowOff>7620</xdr:rowOff>
    </xdr:from>
    <xdr:to>
      <xdr:col>11</xdr:col>
      <xdr:colOff>362360</xdr:colOff>
      <xdr:row>33</xdr:row>
      <xdr:rowOff>135636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xmlns="" id="{C961A866-B354-4A49-87C5-CBD38AB55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71628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167640</xdr:colOff>
      <xdr:row>34</xdr:row>
      <xdr:rowOff>7620</xdr:rowOff>
    </xdr:from>
    <xdr:ext cx="180978" cy="123828"/>
    <xdr:pic>
      <xdr:nvPicPr>
        <xdr:cNvPr id="174" name="Grafik 27">
          <a:extLst>
            <a:ext uri="{FF2B5EF4-FFF2-40B4-BE49-F238E27FC236}">
              <a16:creationId xmlns:a16="http://schemas.microsoft.com/office/drawing/2014/main" xmlns="" id="{0FCCF997-1F91-4E81-9B96-0C6FABC0F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655820" y="73456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175260</xdr:colOff>
      <xdr:row>35</xdr:row>
      <xdr:rowOff>7620</xdr:rowOff>
    </xdr:from>
    <xdr:to>
      <xdr:col>11</xdr:col>
      <xdr:colOff>362360</xdr:colOff>
      <xdr:row>35</xdr:row>
      <xdr:rowOff>135636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xmlns="" id="{AB9494A2-8C0F-4008-A838-E9EE2378A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3440" y="75285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30</xdr:row>
      <xdr:rowOff>7620</xdr:rowOff>
    </xdr:from>
    <xdr:ext cx="180978" cy="123828"/>
    <xdr:pic>
      <xdr:nvPicPr>
        <xdr:cNvPr id="176" name="Grafik 98">
          <a:extLst>
            <a:ext uri="{FF2B5EF4-FFF2-40B4-BE49-F238E27FC236}">
              <a16:creationId xmlns:a16="http://schemas.microsoft.com/office/drawing/2014/main" xmlns="" id="{96E3387F-FFBD-4CED-BB01-DF61D5FB7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1330940" y="66141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198120</xdr:colOff>
      <xdr:row>31</xdr:row>
      <xdr:rowOff>7620</xdr:rowOff>
    </xdr:from>
    <xdr:to>
      <xdr:col>28</xdr:col>
      <xdr:colOff>385220</xdr:colOff>
      <xdr:row>31</xdr:row>
      <xdr:rowOff>135636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xmlns="" id="{3A930A3A-F428-4277-BC3F-69CE98B75C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67970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32</xdr:row>
      <xdr:rowOff>7620</xdr:rowOff>
    </xdr:from>
    <xdr:ext cx="180978" cy="123828"/>
    <xdr:pic>
      <xdr:nvPicPr>
        <xdr:cNvPr id="178" name="Grafik 52">
          <a:extLst>
            <a:ext uri="{FF2B5EF4-FFF2-40B4-BE49-F238E27FC236}">
              <a16:creationId xmlns:a16="http://schemas.microsoft.com/office/drawing/2014/main" xmlns="" id="{3FBDE88D-EC33-494A-BE51-44D742A69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0940" y="697992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205740</xdr:colOff>
      <xdr:row>33</xdr:row>
      <xdr:rowOff>7620</xdr:rowOff>
    </xdr:from>
    <xdr:ext cx="180978" cy="123828"/>
    <xdr:pic>
      <xdr:nvPicPr>
        <xdr:cNvPr id="179" name="Grafik 98">
          <a:extLst>
            <a:ext uri="{FF2B5EF4-FFF2-40B4-BE49-F238E27FC236}">
              <a16:creationId xmlns:a16="http://schemas.microsoft.com/office/drawing/2014/main" xmlns="" id="{FB282E5A-E69D-4D20-8517-A7BC27138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11330940" y="71628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205740</xdr:colOff>
      <xdr:row>34</xdr:row>
      <xdr:rowOff>7620</xdr:rowOff>
    </xdr:from>
    <xdr:to>
      <xdr:col>28</xdr:col>
      <xdr:colOff>392840</xdr:colOff>
      <xdr:row>34</xdr:row>
      <xdr:rowOff>135636</xdr:rowOff>
    </xdr:to>
    <xdr:pic>
      <xdr:nvPicPr>
        <xdr:cNvPr id="180" name="Picture 179">
          <a:extLst>
            <a:ext uri="{FF2B5EF4-FFF2-40B4-BE49-F238E27FC236}">
              <a16:creationId xmlns:a16="http://schemas.microsoft.com/office/drawing/2014/main" xmlns="" id="{F8B83139-96AA-4640-B286-BAA12EB8B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0940" y="73456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213360</xdr:colOff>
      <xdr:row>35</xdr:row>
      <xdr:rowOff>15240</xdr:rowOff>
    </xdr:from>
    <xdr:ext cx="180978" cy="123828"/>
    <xdr:pic>
      <xdr:nvPicPr>
        <xdr:cNvPr id="181" name="Grafik 52">
          <a:extLst>
            <a:ext uri="{FF2B5EF4-FFF2-40B4-BE49-F238E27FC236}">
              <a16:creationId xmlns:a16="http://schemas.microsoft.com/office/drawing/2014/main" xmlns="" id="{F7A9BDDF-CE39-4D83-889A-53FB4938C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38560" y="75361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144780</xdr:colOff>
      <xdr:row>47</xdr:row>
      <xdr:rowOff>15240</xdr:rowOff>
    </xdr:from>
    <xdr:to>
      <xdr:col>11</xdr:col>
      <xdr:colOff>331880</xdr:colOff>
      <xdr:row>47</xdr:row>
      <xdr:rowOff>144708</xdr:rowOff>
    </xdr:to>
    <xdr:pic>
      <xdr:nvPicPr>
        <xdr:cNvPr id="182" name="Picture 181">
          <a:extLst>
            <a:ext uri="{FF2B5EF4-FFF2-40B4-BE49-F238E27FC236}">
              <a16:creationId xmlns:a16="http://schemas.microsoft.com/office/drawing/2014/main" xmlns="" id="{476B9FF5-E493-422B-9008-5FB4FF138C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0157460"/>
          <a:ext cx="187100" cy="1294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144780</xdr:colOff>
      <xdr:row>49</xdr:row>
      <xdr:rowOff>7620</xdr:rowOff>
    </xdr:from>
    <xdr:to>
      <xdr:col>11</xdr:col>
      <xdr:colOff>331880</xdr:colOff>
      <xdr:row>49</xdr:row>
      <xdr:rowOff>135636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xmlns="" id="{FA680168-B559-488C-B894-B0213B1BD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05156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50</xdr:row>
      <xdr:rowOff>7620</xdr:rowOff>
    </xdr:from>
    <xdr:ext cx="180978" cy="123828"/>
    <xdr:pic>
      <xdr:nvPicPr>
        <xdr:cNvPr id="185" name="Grafik 31">
          <a:extLst>
            <a:ext uri="{FF2B5EF4-FFF2-40B4-BE49-F238E27FC236}">
              <a16:creationId xmlns:a16="http://schemas.microsoft.com/office/drawing/2014/main" xmlns="" id="{5E27E8AC-D749-42D4-A3C3-48EF98266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632960" y="106984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137160</xdr:colOff>
      <xdr:row>51</xdr:row>
      <xdr:rowOff>15240</xdr:rowOff>
    </xdr:from>
    <xdr:to>
      <xdr:col>11</xdr:col>
      <xdr:colOff>324260</xdr:colOff>
      <xdr:row>51</xdr:row>
      <xdr:rowOff>143256</xdr:rowOff>
    </xdr:to>
    <xdr:pic>
      <xdr:nvPicPr>
        <xdr:cNvPr id="186" name="Picture 185">
          <a:extLst>
            <a:ext uri="{FF2B5EF4-FFF2-40B4-BE49-F238E27FC236}">
              <a16:creationId xmlns:a16="http://schemas.microsoft.com/office/drawing/2014/main" xmlns="" id="{B4C2D9EC-DD66-4A00-838F-10F7874882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08889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137160</xdr:colOff>
      <xdr:row>52</xdr:row>
      <xdr:rowOff>7620</xdr:rowOff>
    </xdr:from>
    <xdr:to>
      <xdr:col>11</xdr:col>
      <xdr:colOff>324260</xdr:colOff>
      <xdr:row>52</xdr:row>
      <xdr:rowOff>135636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xmlns="" id="{D4D551F3-685D-4044-878C-21AB1A5A8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10718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47</xdr:row>
      <xdr:rowOff>22860</xdr:rowOff>
    </xdr:from>
    <xdr:to>
      <xdr:col>28</xdr:col>
      <xdr:colOff>386380</xdr:colOff>
      <xdr:row>47</xdr:row>
      <xdr:rowOff>151669</xdr:rowOff>
    </xdr:to>
    <xdr:pic>
      <xdr:nvPicPr>
        <xdr:cNvPr id="188" name="Picture 187">
          <a:extLst>
            <a:ext uri="{FF2B5EF4-FFF2-40B4-BE49-F238E27FC236}">
              <a16:creationId xmlns:a16="http://schemas.microsoft.com/office/drawing/2014/main" xmlns="" id="{0E9A4227-AEF6-4869-99B8-2F04BD301A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165080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48</xdr:row>
      <xdr:rowOff>15240</xdr:rowOff>
    </xdr:from>
    <xdr:to>
      <xdr:col>28</xdr:col>
      <xdr:colOff>385220</xdr:colOff>
      <xdr:row>48</xdr:row>
      <xdr:rowOff>143256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xmlns="" id="{EE2449B1-57C2-480E-862F-097141470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3403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49</xdr:row>
      <xdr:rowOff>7620</xdr:rowOff>
    </xdr:from>
    <xdr:to>
      <xdr:col>28</xdr:col>
      <xdr:colOff>386380</xdr:colOff>
      <xdr:row>49</xdr:row>
      <xdr:rowOff>136429</xdr:rowOff>
    </xdr:to>
    <xdr:pic>
      <xdr:nvPicPr>
        <xdr:cNvPr id="190" name="Picture 189">
          <a:extLst>
            <a:ext uri="{FF2B5EF4-FFF2-40B4-BE49-F238E27FC236}">
              <a16:creationId xmlns:a16="http://schemas.microsoft.com/office/drawing/2014/main" xmlns="" id="{E5855791-61A9-4A98-B856-B269E2F2A5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0515600"/>
          <a:ext cx="188260" cy="128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50</xdr:row>
      <xdr:rowOff>15240</xdr:rowOff>
    </xdr:from>
    <xdr:ext cx="180978" cy="123828"/>
    <xdr:pic>
      <xdr:nvPicPr>
        <xdr:cNvPr id="191" name="Grafik 93">
          <a:extLst>
            <a:ext uri="{FF2B5EF4-FFF2-40B4-BE49-F238E27FC236}">
              <a16:creationId xmlns:a16="http://schemas.microsoft.com/office/drawing/2014/main" xmlns="" id="{3396799E-30CD-4E5A-B559-65484B6AB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330940" y="107061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198120</xdr:colOff>
      <xdr:row>51</xdr:row>
      <xdr:rowOff>22860</xdr:rowOff>
    </xdr:from>
    <xdr:ext cx="180978" cy="123828"/>
    <xdr:pic>
      <xdr:nvPicPr>
        <xdr:cNvPr id="192" name="Grafik 36">
          <a:extLst>
            <a:ext uri="{FF2B5EF4-FFF2-40B4-BE49-F238E27FC236}">
              <a16:creationId xmlns:a16="http://schemas.microsoft.com/office/drawing/2014/main" xmlns="" id="{2F1CBD48-F482-4D18-90A1-B8F5F357C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11323320" y="1089660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28</xdr:col>
      <xdr:colOff>198120</xdr:colOff>
      <xdr:row>52</xdr:row>
      <xdr:rowOff>15240</xdr:rowOff>
    </xdr:from>
    <xdr:ext cx="180978" cy="123828"/>
    <xdr:pic>
      <xdr:nvPicPr>
        <xdr:cNvPr id="193" name="Grafik 93">
          <a:extLst>
            <a:ext uri="{FF2B5EF4-FFF2-40B4-BE49-F238E27FC236}">
              <a16:creationId xmlns:a16="http://schemas.microsoft.com/office/drawing/2014/main" xmlns="" id="{70514960-8210-418C-96A4-1044B8848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11323320" y="110794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144780</xdr:colOff>
      <xdr:row>64</xdr:row>
      <xdr:rowOff>7620</xdr:rowOff>
    </xdr:from>
    <xdr:to>
      <xdr:col>11</xdr:col>
      <xdr:colOff>331880</xdr:colOff>
      <xdr:row>64</xdr:row>
      <xdr:rowOff>135636</xdr:rowOff>
    </xdr:to>
    <xdr:pic>
      <xdr:nvPicPr>
        <xdr:cNvPr id="194" name="Picture 193">
          <a:extLst>
            <a:ext uri="{FF2B5EF4-FFF2-40B4-BE49-F238E27FC236}">
              <a16:creationId xmlns:a16="http://schemas.microsoft.com/office/drawing/2014/main" xmlns="" id="{7F8FD9A3-25CB-42B6-8C3F-E1D0E4212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2960" y="135788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65</xdr:row>
      <xdr:rowOff>15240</xdr:rowOff>
    </xdr:from>
    <xdr:ext cx="180978" cy="123828"/>
    <xdr:pic>
      <xdr:nvPicPr>
        <xdr:cNvPr id="195" name="Grafik 41">
          <a:extLst>
            <a:ext uri="{FF2B5EF4-FFF2-40B4-BE49-F238E27FC236}">
              <a16:creationId xmlns:a16="http://schemas.microsoft.com/office/drawing/2014/main" xmlns="" id="{121185EE-B1F6-485C-B73D-69316E23B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632960" y="1376934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137160</xdr:colOff>
      <xdr:row>66</xdr:row>
      <xdr:rowOff>7620</xdr:rowOff>
    </xdr:from>
    <xdr:to>
      <xdr:col>11</xdr:col>
      <xdr:colOff>324260</xdr:colOff>
      <xdr:row>66</xdr:row>
      <xdr:rowOff>135636</xdr:rowOff>
    </xdr:to>
    <xdr:pic>
      <xdr:nvPicPr>
        <xdr:cNvPr id="196" name="Picture 195">
          <a:extLst>
            <a:ext uri="{FF2B5EF4-FFF2-40B4-BE49-F238E27FC236}">
              <a16:creationId xmlns:a16="http://schemas.microsoft.com/office/drawing/2014/main" xmlns="" id="{8C81F02B-9C68-455A-AB68-0AFC34330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394460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137160</xdr:colOff>
      <xdr:row>67</xdr:row>
      <xdr:rowOff>7620</xdr:rowOff>
    </xdr:from>
    <xdr:to>
      <xdr:col>11</xdr:col>
      <xdr:colOff>324260</xdr:colOff>
      <xdr:row>67</xdr:row>
      <xdr:rowOff>135636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xmlns="" id="{F35E77A6-1561-4FEB-83A9-DB65AC108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5340" y="1412748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144780</xdr:colOff>
      <xdr:row>68</xdr:row>
      <xdr:rowOff>15240</xdr:rowOff>
    </xdr:from>
    <xdr:ext cx="180978" cy="123828"/>
    <xdr:pic>
      <xdr:nvPicPr>
        <xdr:cNvPr id="198" name="Grafik 83">
          <a:extLst>
            <a:ext uri="{FF2B5EF4-FFF2-40B4-BE49-F238E27FC236}">
              <a16:creationId xmlns:a16="http://schemas.microsoft.com/office/drawing/2014/main" xmlns="" id="{E1DEC6D9-2C58-48F1-953B-09B5711E9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632960" y="1431798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11</xdr:col>
      <xdr:colOff>152400</xdr:colOff>
      <xdr:row>69</xdr:row>
      <xdr:rowOff>7620</xdr:rowOff>
    </xdr:from>
    <xdr:to>
      <xdr:col>11</xdr:col>
      <xdr:colOff>339500</xdr:colOff>
      <xdr:row>69</xdr:row>
      <xdr:rowOff>135636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xmlns="" id="{24493D02-DD69-4D91-8E44-73FE0859A7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0580" y="1449324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64</xdr:row>
      <xdr:rowOff>15240</xdr:rowOff>
    </xdr:from>
    <xdr:to>
      <xdr:col>28</xdr:col>
      <xdr:colOff>385220</xdr:colOff>
      <xdr:row>64</xdr:row>
      <xdr:rowOff>143256</xdr:rowOff>
    </xdr:to>
    <xdr:pic>
      <xdr:nvPicPr>
        <xdr:cNvPr id="200" name="Picture 199">
          <a:extLst>
            <a:ext uri="{FF2B5EF4-FFF2-40B4-BE49-F238E27FC236}">
              <a16:creationId xmlns:a16="http://schemas.microsoft.com/office/drawing/2014/main" xmlns="" id="{F11010DD-368B-47D5-90EC-B08334F8D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5864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65</xdr:row>
      <xdr:rowOff>7620</xdr:rowOff>
    </xdr:from>
    <xdr:to>
      <xdr:col>28</xdr:col>
      <xdr:colOff>385220</xdr:colOff>
      <xdr:row>65</xdr:row>
      <xdr:rowOff>135636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xmlns="" id="{40FB231E-E578-4697-92EE-ABE1E3408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7617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66</xdr:row>
      <xdr:rowOff>15240</xdr:rowOff>
    </xdr:from>
    <xdr:to>
      <xdr:col>28</xdr:col>
      <xdr:colOff>385220</xdr:colOff>
      <xdr:row>66</xdr:row>
      <xdr:rowOff>143256</xdr:rowOff>
    </xdr:to>
    <xdr:pic>
      <xdr:nvPicPr>
        <xdr:cNvPr id="202" name="Picture 201">
          <a:extLst>
            <a:ext uri="{FF2B5EF4-FFF2-40B4-BE49-F238E27FC236}">
              <a16:creationId xmlns:a16="http://schemas.microsoft.com/office/drawing/2014/main" xmlns="" id="{3740BB3E-3C16-4F4E-BF05-4A1FDFD439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39522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28</xdr:col>
      <xdr:colOff>198120</xdr:colOff>
      <xdr:row>67</xdr:row>
      <xdr:rowOff>22860</xdr:rowOff>
    </xdr:from>
    <xdr:to>
      <xdr:col>28</xdr:col>
      <xdr:colOff>385220</xdr:colOff>
      <xdr:row>67</xdr:row>
      <xdr:rowOff>150876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xmlns="" id="{610A093E-4BC1-4526-AABF-BA4A44A5F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23320" y="1414272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28</xdr:col>
      <xdr:colOff>205740</xdr:colOff>
      <xdr:row>68</xdr:row>
      <xdr:rowOff>7620</xdr:rowOff>
    </xdr:from>
    <xdr:ext cx="180978" cy="123828"/>
    <xdr:pic>
      <xdr:nvPicPr>
        <xdr:cNvPr id="204" name="Grafik 149">
          <a:extLst>
            <a:ext uri="{FF2B5EF4-FFF2-40B4-BE49-F238E27FC236}">
              <a16:creationId xmlns:a16="http://schemas.microsoft.com/office/drawing/2014/main" xmlns="" id="{FCC28B05-0F7C-416E-9AE2-7EF8669C5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11330940" y="14310360"/>
          <a:ext cx="180978" cy="123828"/>
        </a:xfrm>
        <a:prstGeom prst="rect">
          <a:avLst/>
        </a:prstGeom>
        <a:noFill/>
        <a:ln cap="flat">
          <a:noFill/>
        </a:ln>
      </xdr:spPr>
    </xdr:pic>
    <xdr:clientData/>
  </xdr:oneCellAnchor>
  <xdr:twoCellAnchor editAs="oneCell">
    <xdr:from>
      <xdr:col>28</xdr:col>
      <xdr:colOff>205740</xdr:colOff>
      <xdr:row>69</xdr:row>
      <xdr:rowOff>15240</xdr:rowOff>
    </xdr:from>
    <xdr:to>
      <xdr:col>28</xdr:col>
      <xdr:colOff>392840</xdr:colOff>
      <xdr:row>69</xdr:row>
      <xdr:rowOff>143256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xmlns="" id="{6D4E3156-DD92-4D2B-B46A-D25ED39935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0940" y="14500860"/>
          <a:ext cx="187100" cy="128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9525</xdr:colOff>
      <xdr:row>0</xdr:row>
      <xdr:rowOff>209550</xdr:rowOff>
    </xdr:from>
    <xdr:to>
      <xdr:col>29</xdr:col>
      <xdr:colOff>133350</xdr:colOff>
      <xdr:row>3</xdr:row>
      <xdr:rowOff>34747</xdr:rowOff>
    </xdr:to>
    <xdr:pic>
      <xdr:nvPicPr>
        <xdr:cNvPr id="5" name="Grafik 4">
          <a:hlinkClick xmlns:r="http://schemas.openxmlformats.org/officeDocument/2006/relationships" r:id="rId39"/>
          <a:extLst>
            <a:ext uri="{FF2B5EF4-FFF2-40B4-BE49-F238E27FC236}">
              <a16:creationId xmlns:a16="http://schemas.microsoft.com/office/drawing/2014/main" xmlns="" id="{87367C7C-44BD-4958-BB00-C788B041F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700" y="209550"/>
          <a:ext cx="10058400" cy="12539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ussball-em-2016.com/" TargetMode="External"/><Relationship Id="rId2" Type="http://schemas.openxmlformats.org/officeDocument/2006/relationships/printerSettings" Target="../printerSettings/printerSettings1.bin"/><Relationship Id="rId3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0"/>
  <sheetViews>
    <sheetView tabSelected="1" topLeftCell="A71" workbookViewId="0">
      <selection activeCell="W91" sqref="W91"/>
    </sheetView>
  </sheetViews>
  <sheetFormatPr baseColWidth="10" defaultColWidth="11.5" defaultRowHeight="15" x14ac:dyDescent="0.2"/>
  <cols>
    <col min="1" max="1" width="4.1640625" customWidth="1"/>
    <col min="2" max="2" width="5.5" customWidth="1"/>
    <col min="3" max="3" width="11.5" customWidth="1"/>
    <col min="4" max="4" width="8.6640625" customWidth="1"/>
    <col min="5" max="7" width="4.33203125" customWidth="1"/>
    <col min="8" max="8" width="8.5" customWidth="1"/>
    <col min="9" max="9" width="2.1640625" customWidth="1"/>
    <col min="10" max="10" width="6.5" customWidth="1"/>
    <col min="11" max="11" width="5.5" customWidth="1"/>
    <col min="12" max="12" width="6.5" customWidth="1"/>
    <col min="13" max="15" width="7.1640625" customWidth="1"/>
    <col min="16" max="16" width="3.33203125" customWidth="1"/>
    <col min="17" max="18" width="2.1640625" customWidth="1"/>
    <col min="19" max="19" width="5.5" customWidth="1"/>
    <col min="20" max="20" width="11.5" customWidth="1"/>
    <col min="21" max="21" width="8.6640625" customWidth="1"/>
    <col min="22" max="24" width="4.33203125" customWidth="1"/>
    <col min="25" max="25" width="8.5" customWidth="1"/>
    <col min="26" max="26" width="2.1640625" customWidth="1"/>
    <col min="27" max="27" width="6.5" customWidth="1"/>
    <col min="28" max="28" width="5.5" customWidth="1"/>
    <col min="29" max="29" width="7.6640625" customWidth="1"/>
    <col min="30" max="32" width="7.1640625" customWidth="1"/>
    <col min="33" max="33" width="3.33203125" customWidth="1"/>
    <col min="34" max="35" width="2.1640625" customWidth="1"/>
    <col min="36" max="36" width="5.5" customWidth="1"/>
    <col min="37" max="37" width="11.5" customWidth="1"/>
    <col min="38" max="38" width="8.6640625" customWidth="1"/>
    <col min="39" max="41" width="4.33203125" customWidth="1"/>
    <col min="42" max="42" width="8.5" customWidth="1"/>
    <col min="43" max="43" width="2.1640625" customWidth="1"/>
    <col min="44" max="44" width="6.5" customWidth="1"/>
    <col min="45" max="45" width="5.5" customWidth="1"/>
    <col min="46" max="46" width="6.5" customWidth="1"/>
    <col min="47" max="49" width="7.1640625" customWidth="1"/>
    <col min="50" max="50" width="3.33203125" customWidth="1"/>
    <col min="51" max="52" width="2.1640625" customWidth="1"/>
    <col min="53" max="53" width="5.5" customWidth="1"/>
    <col min="54" max="54" width="11.5" customWidth="1"/>
    <col min="55" max="55" width="8.6640625" customWidth="1"/>
    <col min="56" max="58" width="4.33203125" customWidth="1"/>
    <col min="59" max="59" width="8.5" customWidth="1"/>
    <col min="60" max="60" width="2.1640625" customWidth="1"/>
    <col min="61" max="61" width="6.5" customWidth="1"/>
    <col min="62" max="62" width="5.5" customWidth="1"/>
    <col min="63" max="63" width="6.5" customWidth="1"/>
    <col min="64" max="66" width="7.1640625" customWidth="1"/>
    <col min="67" max="67" width="3.33203125" customWidth="1"/>
    <col min="68" max="69" width="2.1640625" customWidth="1"/>
    <col min="70" max="70" width="5.5" customWidth="1"/>
    <col min="71" max="71" width="11.5" customWidth="1"/>
    <col min="72" max="72" width="8.6640625" customWidth="1"/>
    <col min="73" max="75" width="4.33203125" customWidth="1"/>
    <col min="76" max="76" width="8.5" customWidth="1"/>
    <col min="77" max="77" width="2.1640625" customWidth="1"/>
    <col min="78" max="78" width="6.5" customWidth="1"/>
    <col min="79" max="79" width="5.5" customWidth="1"/>
    <col min="80" max="80" width="6.5" customWidth="1"/>
    <col min="81" max="83" width="7.1640625" customWidth="1"/>
    <col min="84" max="84" width="3.33203125" customWidth="1"/>
    <col min="85" max="86" width="2.1640625" customWidth="1"/>
    <col min="87" max="87" width="5.5" customWidth="1"/>
    <col min="88" max="88" width="11.5" customWidth="1"/>
    <col min="89" max="89" width="8.6640625" customWidth="1"/>
    <col min="90" max="92" width="4.33203125" customWidth="1"/>
    <col min="93" max="93" width="8.5" customWidth="1"/>
    <col min="94" max="94" width="2.1640625" customWidth="1"/>
    <col min="95" max="95" width="6.5" customWidth="1"/>
    <col min="96" max="96" width="5.5" customWidth="1"/>
    <col min="97" max="97" width="6.5" customWidth="1"/>
    <col min="98" max="100" width="7.1640625" customWidth="1"/>
    <col min="101" max="102" width="3.33203125" customWidth="1"/>
    <col min="103" max="103" width="11.5" customWidth="1"/>
  </cols>
  <sheetData>
    <row r="1" spans="1:34" ht="79.5" customHeight="1" x14ac:dyDescent="0.2">
      <c r="A1" s="294"/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  <c r="M1" s="295"/>
      <c r="N1" s="296"/>
      <c r="O1" s="296"/>
      <c r="P1" s="296"/>
      <c r="Q1" s="296"/>
      <c r="R1" s="296"/>
      <c r="S1" s="296"/>
      <c r="T1" s="296"/>
      <c r="U1" s="296"/>
      <c r="V1" s="296"/>
      <c r="W1" s="45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</row>
    <row r="2" spans="1:34" ht="18" customHeight="1" x14ac:dyDescent="0.2">
      <c r="A2" s="294"/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7">
        <v>0</v>
      </c>
      <c r="X2" s="297"/>
      <c r="Y2" s="297"/>
      <c r="Z2" s="297"/>
      <c r="AA2" s="297"/>
      <c r="AB2" s="297"/>
      <c r="AC2" s="297"/>
      <c r="AD2" s="297"/>
      <c r="AE2" s="297"/>
      <c r="AF2" s="297"/>
      <c r="AG2" s="297"/>
      <c r="AH2" s="297"/>
    </row>
    <row r="3" spans="1:34" x14ac:dyDescent="0.2">
      <c r="A3" s="294"/>
      <c r="B3" s="294"/>
      <c r="C3" s="294"/>
      <c r="D3" s="294"/>
      <c r="E3" s="294"/>
      <c r="F3" s="294"/>
      <c r="G3" s="294"/>
      <c r="H3" s="294"/>
      <c r="I3" s="294"/>
      <c r="J3" s="294"/>
      <c r="K3" s="294"/>
      <c r="L3" s="294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7"/>
      <c r="X3" s="297"/>
      <c r="Y3" s="297"/>
      <c r="Z3" s="297"/>
      <c r="AA3" s="297"/>
      <c r="AB3" s="297"/>
      <c r="AC3" s="297"/>
      <c r="AD3" s="297"/>
      <c r="AE3" s="297"/>
      <c r="AF3" s="297"/>
      <c r="AG3" s="297"/>
      <c r="AH3" s="297"/>
    </row>
    <row r="4" spans="1:34" ht="28.25" customHeight="1" thickBot="1" x14ac:dyDescent="0.25">
      <c r="A4" s="157"/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49"/>
      <c r="M4" s="296"/>
      <c r="N4" s="296"/>
      <c r="O4" s="296"/>
      <c r="P4" s="296"/>
      <c r="Q4" s="296"/>
      <c r="R4" s="296"/>
      <c r="S4" s="296"/>
      <c r="T4" s="296"/>
      <c r="U4" s="296"/>
      <c r="V4" s="296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</row>
    <row r="5" spans="1:34" ht="21" customHeight="1" thickBot="1" x14ac:dyDescent="0.25">
      <c r="A5" s="48"/>
      <c r="B5" s="265" t="s">
        <v>0</v>
      </c>
      <c r="C5" s="265"/>
      <c r="D5" s="265"/>
      <c r="E5" s="265"/>
      <c r="F5" s="265"/>
      <c r="G5" s="265"/>
      <c r="H5" s="265"/>
      <c r="I5" s="265"/>
      <c r="J5" s="265"/>
      <c r="K5" s="265"/>
      <c r="L5" s="265"/>
      <c r="M5" s="265"/>
      <c r="N5" s="265"/>
      <c r="O5" s="265"/>
      <c r="P5" s="265"/>
      <c r="Q5" s="51"/>
      <c r="R5" s="51"/>
      <c r="S5" s="266" t="s">
        <v>1</v>
      </c>
      <c r="T5" s="266"/>
      <c r="U5" s="266"/>
      <c r="V5" s="266"/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63"/>
    </row>
    <row r="6" spans="1:34" x14ac:dyDescent="0.2">
      <c r="A6" s="48"/>
      <c r="B6" s="67"/>
      <c r="C6" s="68"/>
      <c r="D6" s="69"/>
      <c r="E6" s="70" t="s">
        <v>3</v>
      </c>
      <c r="F6" s="70" t="s">
        <v>4</v>
      </c>
      <c r="G6" s="70" t="s">
        <v>5</v>
      </c>
      <c r="H6" s="71" t="s">
        <v>6</v>
      </c>
      <c r="I6" s="72"/>
      <c r="J6" s="72"/>
      <c r="K6" s="72" t="s">
        <v>7</v>
      </c>
      <c r="L6" s="72"/>
      <c r="M6" s="73" t="s">
        <v>8</v>
      </c>
      <c r="N6" s="74" t="s">
        <v>9</v>
      </c>
      <c r="O6" s="73"/>
      <c r="P6" s="75"/>
      <c r="Q6" s="51"/>
      <c r="R6" s="51"/>
      <c r="S6" s="95"/>
      <c r="T6" s="259"/>
      <c r="U6" s="100"/>
      <c r="V6" s="99" t="s">
        <v>3</v>
      </c>
      <c r="W6" s="122" t="s">
        <v>4</v>
      </c>
      <c r="X6" s="122" t="s">
        <v>5</v>
      </c>
      <c r="Y6" s="123" t="s">
        <v>6</v>
      </c>
      <c r="Z6" s="124"/>
      <c r="AA6" s="124"/>
      <c r="AB6" s="124" t="s">
        <v>7</v>
      </c>
      <c r="AC6" s="124"/>
      <c r="AD6" s="122" t="s">
        <v>8</v>
      </c>
      <c r="AE6" s="124" t="s">
        <v>9</v>
      </c>
      <c r="AF6" s="122"/>
      <c r="AG6" s="125"/>
      <c r="AH6" s="63"/>
    </row>
    <row r="7" spans="1:34" x14ac:dyDescent="0.2">
      <c r="A7" s="48"/>
      <c r="B7" s="238" t="s">
        <v>10</v>
      </c>
      <c r="C7" s="239" t="str">
        <f>VLOOKUP(1,Gruppen!$A$6:$L$9,2,FALSE)</f>
        <v>Uruguay</v>
      </c>
      <c r="D7" s="240"/>
      <c r="E7" s="241">
        <f>VLOOKUP(1,Gruppen!$A$6:$L$9,3,FALSE)</f>
        <v>3</v>
      </c>
      <c r="F7" s="241">
        <f>VLOOKUP(1,Gruppen!$A$6:$L$9,4,FALSE)</f>
        <v>3</v>
      </c>
      <c r="G7" s="241">
        <f>VLOOKUP(1,Gruppen!$A$6:$L$9,5,FALSE)</f>
        <v>0</v>
      </c>
      <c r="H7" s="241" t="str">
        <f>VLOOKUP(1,Gruppen!$A$6:$L$9,6,FALSE)</f>
        <v xml:space="preserve">0         </v>
      </c>
      <c r="I7" s="242"/>
      <c r="J7" s="243">
        <f>VLOOKUP(1,Gruppen!$A$6:$L$9,7,FALSE)</f>
        <v>6</v>
      </c>
      <c r="K7" s="244" t="s">
        <v>12</v>
      </c>
      <c r="L7" s="239">
        <f>VLOOKUP(1,Gruppen!$A$6:$L$9,9,FALSE)</f>
        <v>2</v>
      </c>
      <c r="M7" s="245">
        <f>VLOOKUP(1,Gruppen!$A$6:$L$9,10,FALSE)</f>
        <v>4</v>
      </c>
      <c r="N7" s="245">
        <f>VLOOKUP(1,Gruppen!$A$6:$L$9,11,FALSE)</f>
        <v>9</v>
      </c>
      <c r="O7" s="82"/>
      <c r="P7" s="83"/>
      <c r="Q7" s="51"/>
      <c r="R7" s="51"/>
      <c r="S7" s="126" t="s">
        <v>10</v>
      </c>
      <c r="T7" s="267" t="str">
        <f>VLOOKUP(1,Gruppen!$A$12:$L$15,2,FALSE)</f>
        <v>Spanien</v>
      </c>
      <c r="U7" s="267"/>
      <c r="V7" s="81">
        <f>VLOOKUP(1,Gruppen!$A$12:$L$15,3,FALSE)</f>
        <v>3</v>
      </c>
      <c r="W7" s="127">
        <f>VLOOKUP(1,Gruppen!$A$12:$L$15,4,FALSE)</f>
        <v>3</v>
      </c>
      <c r="X7" s="127">
        <f>VLOOKUP(1,Gruppen!$A$12:$L$15,5,FALSE)</f>
        <v>0</v>
      </c>
      <c r="Y7" s="127" t="str">
        <f>VLOOKUP(1,Gruppen!$A$12:$L$15,6,FALSE)</f>
        <v xml:space="preserve">0         </v>
      </c>
      <c r="Z7" s="128"/>
      <c r="AA7" s="129">
        <f>VLOOKUP(1,Gruppen!$A$12:$L$15,7,FALSE)</f>
        <v>7</v>
      </c>
      <c r="AB7" s="130" t="s">
        <v>12</v>
      </c>
      <c r="AC7" s="131">
        <f>VLOOKUP(1,Gruppen!$A$12:$L$15,9,FALSE)</f>
        <v>1</v>
      </c>
      <c r="AD7" s="127">
        <f>VLOOKUP(1,Gruppen!$A$12:$L$15,10,FALSE)</f>
        <v>6</v>
      </c>
      <c r="AE7" s="127">
        <f>VLOOKUP(1,Gruppen!$A$12:$L$15,11,FALSE)</f>
        <v>9</v>
      </c>
      <c r="AF7" s="130"/>
      <c r="AG7" s="132"/>
      <c r="AH7" s="63"/>
    </row>
    <row r="8" spans="1:34" x14ac:dyDescent="0.2">
      <c r="A8" s="48"/>
      <c r="B8" s="246" t="s">
        <v>13</v>
      </c>
      <c r="C8" s="239" t="str">
        <f>VLOOKUP(2,Gruppen!$A$6:$L$9,2,FALSE)</f>
        <v>Ägypten</v>
      </c>
      <c r="D8" s="240"/>
      <c r="E8" s="241">
        <f>VLOOKUP(2,Gruppen!$A$6:$L$9,3,FALSE)</f>
        <v>3</v>
      </c>
      <c r="F8" s="241">
        <f>VLOOKUP(2,Gruppen!$A$6:$L$9,4,FALSE)</f>
        <v>1</v>
      </c>
      <c r="G8" s="241">
        <f>VLOOKUP(2,Gruppen!$A$6:$L$9,5,FALSE)</f>
        <v>1</v>
      </c>
      <c r="H8" s="241" t="str">
        <f>VLOOKUP(2,Gruppen!$A$6:$L$9,6,FALSE)</f>
        <v xml:space="preserve">1         </v>
      </c>
      <c r="I8" s="242"/>
      <c r="J8" s="243">
        <f>VLOOKUP(2,Gruppen!$A$6:$L$9,7,FALSE)</f>
        <v>4</v>
      </c>
      <c r="K8" s="244" t="s">
        <v>12</v>
      </c>
      <c r="L8" s="239">
        <f>VLOOKUP(2,Gruppen!$A$6:$L$9,9,FALSE)</f>
        <v>3</v>
      </c>
      <c r="M8" s="245">
        <f>VLOOKUP(2,Gruppen!$A$6:$L$9,10,FALSE)</f>
        <v>1</v>
      </c>
      <c r="N8" s="245">
        <f>VLOOKUP(2,Gruppen!$A$6:$L$9,11,FALSE)</f>
        <v>4</v>
      </c>
      <c r="O8" s="82"/>
      <c r="P8" s="85"/>
      <c r="Q8" s="51"/>
      <c r="R8" s="51"/>
      <c r="S8" s="133" t="s">
        <v>13</v>
      </c>
      <c r="T8" s="268" t="str">
        <f>VLOOKUP(2,Gruppen!$A$12:$L$15,2,FALSE)</f>
        <v>Portugal</v>
      </c>
      <c r="U8" s="268"/>
      <c r="V8" s="81">
        <f>VLOOKUP(2,Gruppen!$A$12:$L$15,3,FALSE)</f>
        <v>3</v>
      </c>
      <c r="W8" s="127">
        <f>VLOOKUP(2,Gruppen!$A$12:$L$15,4,FALSE)</f>
        <v>2</v>
      </c>
      <c r="X8" s="127">
        <f>VLOOKUP(2,Gruppen!$A$12:$L$15,5,FALSE)</f>
        <v>0</v>
      </c>
      <c r="Y8" s="127" t="str">
        <f>VLOOKUP(2,Gruppen!$A$12:$L$15,6,FALSE)</f>
        <v xml:space="preserve">1         </v>
      </c>
      <c r="Z8" s="128"/>
      <c r="AA8" s="129">
        <f>VLOOKUP(2,Gruppen!$A$12:$L$15,7,FALSE)</f>
        <v>3</v>
      </c>
      <c r="AB8" s="130" t="s">
        <v>12</v>
      </c>
      <c r="AC8" s="131">
        <f>VLOOKUP(2,Gruppen!$A$12:$L$15,9,FALSE)</f>
        <v>2</v>
      </c>
      <c r="AD8" s="127">
        <f>VLOOKUP(2,Gruppen!$A$12:$L$15,10,FALSE)</f>
        <v>1</v>
      </c>
      <c r="AE8" s="127">
        <f>VLOOKUP(2,Gruppen!$A$12:$L$15,11,FALSE)</f>
        <v>6</v>
      </c>
      <c r="AF8" s="130"/>
      <c r="AG8" s="134"/>
      <c r="AH8" s="63"/>
    </row>
    <row r="9" spans="1:34" x14ac:dyDescent="0.2">
      <c r="A9" s="48"/>
      <c r="B9" s="238" t="s">
        <v>14</v>
      </c>
      <c r="C9" s="239" t="str">
        <f>VLOOKUP(3,Gruppen!$A$6:$L$9,2,FALSE)</f>
        <v>Russland</v>
      </c>
      <c r="D9" s="240"/>
      <c r="E9" s="241">
        <f>VLOOKUP(3,Gruppen!$A$6:$L$9,3,FALSE)</f>
        <v>3</v>
      </c>
      <c r="F9" s="241">
        <f>VLOOKUP(3,Gruppen!$A$6:$L$9,4,FALSE)</f>
        <v>1</v>
      </c>
      <c r="G9" s="241">
        <f>VLOOKUP(3,Gruppen!$A$6:$L$9,5,FALSE)</f>
        <v>1</v>
      </c>
      <c r="H9" s="241" t="str">
        <f>VLOOKUP(3,Gruppen!$A$6:$L$9,6,FALSE)</f>
        <v xml:space="preserve">1         </v>
      </c>
      <c r="I9" s="242"/>
      <c r="J9" s="243">
        <f>VLOOKUP(3,Gruppen!$A$6:$L$9,7,FALSE)</f>
        <v>3</v>
      </c>
      <c r="K9" s="244" t="s">
        <v>12</v>
      </c>
      <c r="L9" s="239">
        <f>VLOOKUP(3,Gruppen!$A$6:$L$9,9,FALSE)</f>
        <v>3</v>
      </c>
      <c r="M9" s="245">
        <f>VLOOKUP(3,Gruppen!$A$6:$L$9,10,FALSE)</f>
        <v>0</v>
      </c>
      <c r="N9" s="245">
        <f>VLOOKUP(3,Gruppen!$A$6:$L$9,11,FALSE)</f>
        <v>4</v>
      </c>
      <c r="O9" s="82"/>
      <c r="P9" s="83"/>
      <c r="Q9" s="51"/>
      <c r="R9" s="51"/>
      <c r="S9" s="133" t="s">
        <v>14</v>
      </c>
      <c r="T9" s="268" t="str">
        <f>VLOOKUP(3,Gruppen!$A$12:$L$15,2,FALSE)</f>
        <v>Marokko</v>
      </c>
      <c r="U9" s="268"/>
      <c r="V9" s="81">
        <f>VLOOKUP(3,Gruppen!$A$12:$L$15,3,FALSE)</f>
        <v>3</v>
      </c>
      <c r="W9" s="127">
        <f>VLOOKUP(3,Gruppen!$A$12:$L$15,4,FALSE)</f>
        <v>1</v>
      </c>
      <c r="X9" s="127">
        <f>VLOOKUP(3,Gruppen!$A$12:$L$15,5,FALSE)</f>
        <v>0</v>
      </c>
      <c r="Y9" s="127" t="str">
        <f>VLOOKUP(3,Gruppen!$A$12:$L$15,6,FALSE)</f>
        <v xml:space="preserve">2         </v>
      </c>
      <c r="Z9" s="128"/>
      <c r="AA9" s="129">
        <f>VLOOKUP(3,Gruppen!$A$12:$L$15,7,FALSE)</f>
        <v>1</v>
      </c>
      <c r="AB9" s="130" t="s">
        <v>12</v>
      </c>
      <c r="AC9" s="131">
        <f>VLOOKUP(3,Gruppen!$A$12:$L$15,9,FALSE)</f>
        <v>3</v>
      </c>
      <c r="AD9" s="127">
        <f>VLOOKUP(3,Gruppen!$A$12:$L$15,10,FALSE)</f>
        <v>-2</v>
      </c>
      <c r="AE9" s="127">
        <f>VLOOKUP(3,Gruppen!$A$12:$L$15,11,FALSE)</f>
        <v>3</v>
      </c>
      <c r="AF9" s="130"/>
      <c r="AG9" s="134"/>
      <c r="AH9" s="63"/>
    </row>
    <row r="10" spans="1:34" ht="16" thickBot="1" x14ac:dyDescent="0.25">
      <c r="A10" s="48"/>
      <c r="B10" s="247" t="s">
        <v>17</v>
      </c>
      <c r="C10" s="248" t="str">
        <f>VLOOKUP(4,Gruppen!$A$6:$L$9,2,FALSE)</f>
        <v>Saudi-Arabien</v>
      </c>
      <c r="D10" s="249"/>
      <c r="E10" s="250">
        <f>VLOOKUP(4,Gruppen!$A$6:$L$9,3,FALSE)</f>
        <v>3</v>
      </c>
      <c r="F10" s="250">
        <f>VLOOKUP(4,Gruppen!$A$6:$L$9,4,FALSE)</f>
        <v>0</v>
      </c>
      <c r="G10" s="250">
        <f>VLOOKUP(4,Gruppen!$A$6:$L$9,5,FALSE)</f>
        <v>0</v>
      </c>
      <c r="H10" s="250" t="str">
        <f>VLOOKUP(4,Gruppen!$A$6:$L$9,6,FALSE)</f>
        <v xml:space="preserve">3         </v>
      </c>
      <c r="I10" s="251"/>
      <c r="J10" s="252">
        <f>VLOOKUP(4,Gruppen!$A$6:$L$9,7,FALSE)</f>
        <v>0</v>
      </c>
      <c r="K10" s="253" t="s">
        <v>12</v>
      </c>
      <c r="L10" s="248">
        <f>VLOOKUP(4,Gruppen!$A$6:$L$9,9,FALSE)</f>
        <v>5</v>
      </c>
      <c r="M10" s="254">
        <f>VLOOKUP(4,Gruppen!$A$6:$L$9,10,FALSE)</f>
        <v>-5</v>
      </c>
      <c r="N10" s="254">
        <f>VLOOKUP(4,Gruppen!$A$6:$L$9,11,FALSE)</f>
        <v>0</v>
      </c>
      <c r="O10" s="92"/>
      <c r="P10" s="93"/>
      <c r="Q10" s="51"/>
      <c r="R10" s="51"/>
      <c r="S10" s="135" t="s">
        <v>17</v>
      </c>
      <c r="T10" s="269" t="str">
        <f>VLOOKUP(4,Gruppen!$A$12:$L$15,2,FALSE)</f>
        <v>Iran</v>
      </c>
      <c r="U10" s="269"/>
      <c r="V10" s="91">
        <f>VLOOKUP(4,Gruppen!$A$12:$L$15,3,FALSE)</f>
        <v>3</v>
      </c>
      <c r="W10" s="136">
        <f>VLOOKUP(4,Gruppen!$A$12:$L$15,4,FALSE)</f>
        <v>0</v>
      </c>
      <c r="X10" s="136">
        <f>VLOOKUP(4,Gruppen!$A$12:$L$15,5,FALSE)</f>
        <v>0</v>
      </c>
      <c r="Y10" s="136" t="str">
        <f>VLOOKUP(4,Gruppen!$A$12:$L$15,6,FALSE)</f>
        <v xml:space="preserve">3         </v>
      </c>
      <c r="Z10" s="137"/>
      <c r="AA10" s="138">
        <f>VLOOKUP(4,Gruppen!$A$12:$L$15,7,FALSE)</f>
        <v>0</v>
      </c>
      <c r="AB10" s="139" t="s">
        <v>12</v>
      </c>
      <c r="AC10" s="140">
        <f>VLOOKUP(4,Gruppen!$A$12:$L$15,9,FALSE)</f>
        <v>5</v>
      </c>
      <c r="AD10" s="136">
        <f>VLOOKUP(4,Gruppen!$A$12:$L$15,10,FALSE)</f>
        <v>-5</v>
      </c>
      <c r="AE10" s="136">
        <f>VLOOKUP(4,Gruppen!$A$12:$L$15,11,FALSE)</f>
        <v>0</v>
      </c>
      <c r="AF10" s="139"/>
      <c r="AG10" s="141"/>
      <c r="AH10" s="63"/>
    </row>
    <row r="11" spans="1:34" ht="16" thickBot="1" x14ac:dyDescent="0.25">
      <c r="A11" s="48"/>
      <c r="B11" s="53"/>
      <c r="C11" s="54"/>
      <c r="D11" s="54"/>
      <c r="E11" s="55"/>
      <c r="F11" s="55"/>
      <c r="G11" s="55"/>
      <c r="H11" s="55"/>
      <c r="I11" s="48"/>
      <c r="J11" s="48"/>
      <c r="K11" s="50"/>
      <c r="L11" s="54"/>
      <c r="M11" s="56"/>
      <c r="N11" s="56"/>
      <c r="O11" s="56"/>
      <c r="P11" s="56"/>
      <c r="Q11" s="51"/>
      <c r="R11" s="52"/>
      <c r="S11" s="61"/>
      <c r="T11" s="62"/>
      <c r="U11" s="62"/>
      <c r="V11" s="56"/>
      <c r="W11" s="47"/>
      <c r="X11" s="47"/>
      <c r="Y11" s="47"/>
      <c r="Z11" s="63"/>
      <c r="AA11" s="63"/>
      <c r="AB11" s="47"/>
      <c r="AC11" s="64"/>
      <c r="AD11" s="47"/>
      <c r="AE11" s="47"/>
      <c r="AF11" s="47"/>
      <c r="AG11" s="47"/>
      <c r="AH11" s="63"/>
    </row>
    <row r="12" spans="1:34" ht="30" customHeight="1" x14ac:dyDescent="0.2">
      <c r="A12" s="48"/>
      <c r="B12" s="266" t="s">
        <v>19</v>
      </c>
      <c r="C12" s="266"/>
      <c r="D12" s="266"/>
      <c r="E12" s="266"/>
      <c r="F12" s="266"/>
      <c r="G12" s="266"/>
      <c r="H12" s="266"/>
      <c r="I12" s="266"/>
      <c r="J12" s="266"/>
      <c r="K12" s="266"/>
      <c r="L12" s="266"/>
      <c r="M12" s="266"/>
      <c r="N12" s="266"/>
      <c r="O12" s="266"/>
      <c r="P12" s="266"/>
      <c r="Q12" s="51"/>
      <c r="R12" s="51"/>
      <c r="S12" s="266" t="s">
        <v>20</v>
      </c>
      <c r="T12" s="266"/>
      <c r="U12" s="266"/>
      <c r="V12" s="266"/>
      <c r="W12" s="266"/>
      <c r="X12" s="266"/>
      <c r="Y12" s="266"/>
      <c r="Z12" s="266"/>
      <c r="AA12" s="266"/>
      <c r="AB12" s="266"/>
      <c r="AC12" s="266"/>
      <c r="AD12" s="266"/>
      <c r="AE12" s="266"/>
      <c r="AF12" s="266"/>
      <c r="AG12" s="266"/>
      <c r="AH12" s="63"/>
    </row>
    <row r="13" spans="1:34" x14ac:dyDescent="0.2">
      <c r="A13" s="48"/>
      <c r="B13" s="149" t="s">
        <v>21</v>
      </c>
      <c r="C13" s="231" t="s">
        <v>22</v>
      </c>
      <c r="D13" s="150" t="s">
        <v>23</v>
      </c>
      <c r="E13" s="150"/>
      <c r="F13" s="274" t="s">
        <v>24</v>
      </c>
      <c r="G13" s="274"/>
      <c r="H13" s="274"/>
      <c r="I13" s="274"/>
      <c r="J13" s="274"/>
      <c r="K13" s="274"/>
      <c r="L13" s="274"/>
      <c r="M13" s="151"/>
      <c r="N13" s="152" t="s">
        <v>7</v>
      </c>
      <c r="O13" s="151"/>
      <c r="P13" s="153"/>
      <c r="Q13" s="51"/>
      <c r="R13" s="51"/>
      <c r="S13" s="108" t="s">
        <v>21</v>
      </c>
      <c r="T13" s="232" t="s">
        <v>22</v>
      </c>
      <c r="U13" s="109" t="s">
        <v>23</v>
      </c>
      <c r="V13" s="110"/>
      <c r="W13" s="275" t="s">
        <v>24</v>
      </c>
      <c r="X13" s="275"/>
      <c r="Y13" s="275"/>
      <c r="Z13" s="275"/>
      <c r="AA13" s="275"/>
      <c r="AB13" s="275"/>
      <c r="AC13" s="275"/>
      <c r="AD13" s="119"/>
      <c r="AE13" s="120" t="s">
        <v>7</v>
      </c>
      <c r="AF13" s="58"/>
      <c r="AG13" s="117"/>
      <c r="AH13" s="63"/>
    </row>
    <row r="14" spans="1:34" x14ac:dyDescent="0.2">
      <c r="A14" s="48"/>
      <c r="B14" s="233">
        <v>1</v>
      </c>
      <c r="C14" s="234" t="s">
        <v>171</v>
      </c>
      <c r="D14" s="235">
        <v>0.70833333333333337</v>
      </c>
      <c r="E14" s="236"/>
      <c r="F14" s="270" t="s">
        <v>16</v>
      </c>
      <c r="G14" s="270"/>
      <c r="H14" s="270"/>
      <c r="I14" s="237" t="s">
        <v>12</v>
      </c>
      <c r="J14" s="271" t="s">
        <v>146</v>
      </c>
      <c r="K14" s="271"/>
      <c r="L14" s="271"/>
      <c r="M14" s="185">
        <v>1</v>
      </c>
      <c r="N14" s="186" t="s">
        <v>12</v>
      </c>
      <c r="O14" s="185">
        <v>0</v>
      </c>
      <c r="P14" s="143"/>
      <c r="Q14" s="51"/>
      <c r="R14" s="51"/>
      <c r="S14" s="111">
        <v>3</v>
      </c>
      <c r="T14" s="112" t="s">
        <v>172</v>
      </c>
      <c r="U14" s="113">
        <v>0.70833333333333337</v>
      </c>
      <c r="V14" s="114"/>
      <c r="W14" s="272" t="s">
        <v>149</v>
      </c>
      <c r="X14" s="272"/>
      <c r="Y14" s="272"/>
      <c r="Z14" s="115" t="s">
        <v>12</v>
      </c>
      <c r="AA14" s="273" t="s">
        <v>150</v>
      </c>
      <c r="AB14" s="273"/>
      <c r="AC14" s="273"/>
      <c r="AD14" s="185">
        <v>1</v>
      </c>
      <c r="AE14" s="115" t="s">
        <v>12</v>
      </c>
      <c r="AF14" s="185">
        <v>0</v>
      </c>
      <c r="AG14" s="59"/>
      <c r="AH14" s="63"/>
    </row>
    <row r="15" spans="1:34" x14ac:dyDescent="0.2">
      <c r="A15" s="48"/>
      <c r="B15" s="233">
        <v>2</v>
      </c>
      <c r="C15" s="234" t="s">
        <v>172</v>
      </c>
      <c r="D15" s="235">
        <v>0.58333333333333337</v>
      </c>
      <c r="E15" s="236"/>
      <c r="F15" s="270" t="s">
        <v>147</v>
      </c>
      <c r="G15" s="270"/>
      <c r="H15" s="270"/>
      <c r="I15" s="237" t="s">
        <v>12</v>
      </c>
      <c r="J15" s="271" t="s">
        <v>148</v>
      </c>
      <c r="K15" s="271"/>
      <c r="L15" s="271"/>
      <c r="M15" s="185">
        <v>1</v>
      </c>
      <c r="N15" s="186" t="s">
        <v>12</v>
      </c>
      <c r="O15" s="185">
        <v>2</v>
      </c>
      <c r="P15" s="143"/>
      <c r="Q15" s="51"/>
      <c r="R15" s="51"/>
      <c r="S15" s="111">
        <v>4</v>
      </c>
      <c r="T15" s="112" t="s">
        <v>172</v>
      </c>
      <c r="U15" s="113">
        <v>0.83333333333333337</v>
      </c>
      <c r="V15" s="114"/>
      <c r="W15" s="272" t="s">
        <v>38</v>
      </c>
      <c r="X15" s="272"/>
      <c r="Y15" s="272"/>
      <c r="Z15" s="115" t="s">
        <v>12</v>
      </c>
      <c r="AA15" s="273" t="s">
        <v>28</v>
      </c>
      <c r="AB15" s="273"/>
      <c r="AC15" s="273"/>
      <c r="AD15" s="185">
        <v>1</v>
      </c>
      <c r="AE15" s="115" t="s">
        <v>12</v>
      </c>
      <c r="AF15" s="185">
        <v>2</v>
      </c>
      <c r="AG15" s="59"/>
      <c r="AH15" s="63"/>
    </row>
    <row r="16" spans="1:34" x14ac:dyDescent="0.2">
      <c r="A16" s="48"/>
      <c r="B16" s="233">
        <v>17</v>
      </c>
      <c r="C16" s="234" t="s">
        <v>173</v>
      </c>
      <c r="D16" s="235">
        <v>0.83333333333333337</v>
      </c>
      <c r="E16" s="236"/>
      <c r="F16" s="270" t="s">
        <v>16</v>
      </c>
      <c r="G16" s="270"/>
      <c r="H16" s="270"/>
      <c r="I16" s="237" t="s">
        <v>12</v>
      </c>
      <c r="J16" s="271" t="s">
        <v>147</v>
      </c>
      <c r="K16" s="271"/>
      <c r="L16" s="271"/>
      <c r="M16" s="187">
        <v>1</v>
      </c>
      <c r="N16" s="186" t="s">
        <v>12</v>
      </c>
      <c r="O16" s="187">
        <v>1</v>
      </c>
      <c r="P16" s="143"/>
      <c r="Q16" s="51"/>
      <c r="R16" s="51"/>
      <c r="S16" s="111">
        <v>19</v>
      </c>
      <c r="T16" s="112" t="s">
        <v>174</v>
      </c>
      <c r="U16" s="113">
        <v>0.58333333333333337</v>
      </c>
      <c r="V16" s="114"/>
      <c r="W16" s="272" t="s">
        <v>38</v>
      </c>
      <c r="X16" s="272"/>
      <c r="Y16" s="272"/>
      <c r="Z16" s="115" t="s">
        <v>12</v>
      </c>
      <c r="AA16" s="273" t="s">
        <v>149</v>
      </c>
      <c r="AB16" s="273"/>
      <c r="AC16" s="273"/>
      <c r="AD16" s="187">
        <v>1</v>
      </c>
      <c r="AE16" s="115" t="s">
        <v>12</v>
      </c>
      <c r="AF16" s="187">
        <v>0</v>
      </c>
      <c r="AG16" s="59"/>
      <c r="AH16" s="63"/>
    </row>
    <row r="17" spans="1:34" x14ac:dyDescent="0.2">
      <c r="A17" s="48"/>
      <c r="B17" s="233">
        <v>18</v>
      </c>
      <c r="C17" s="234" t="s">
        <v>174</v>
      </c>
      <c r="D17" s="235">
        <v>0.70833333333333337</v>
      </c>
      <c r="E17" s="236"/>
      <c r="F17" s="270" t="s">
        <v>148</v>
      </c>
      <c r="G17" s="270"/>
      <c r="H17" s="270"/>
      <c r="I17" s="237" t="s">
        <v>12</v>
      </c>
      <c r="J17" s="271" t="s">
        <v>146</v>
      </c>
      <c r="K17" s="271"/>
      <c r="L17" s="271"/>
      <c r="M17" s="185">
        <v>2</v>
      </c>
      <c r="N17" s="186" t="s">
        <v>12</v>
      </c>
      <c r="O17" s="185">
        <v>0</v>
      </c>
      <c r="P17" s="143"/>
      <c r="Q17" s="51"/>
      <c r="R17" s="51"/>
      <c r="S17" s="111">
        <v>20</v>
      </c>
      <c r="T17" s="112" t="s">
        <v>174</v>
      </c>
      <c r="U17" s="113">
        <v>0.83333333333333337</v>
      </c>
      <c r="V17" s="114"/>
      <c r="W17" s="272" t="s">
        <v>150</v>
      </c>
      <c r="X17" s="272"/>
      <c r="Y17" s="272"/>
      <c r="Z17" s="115" t="s">
        <v>12</v>
      </c>
      <c r="AA17" s="278" t="s">
        <v>28</v>
      </c>
      <c r="AB17" s="278"/>
      <c r="AC17" s="278"/>
      <c r="AD17" s="185">
        <v>0</v>
      </c>
      <c r="AE17" s="115" t="s">
        <v>12</v>
      </c>
      <c r="AF17" s="185">
        <v>3</v>
      </c>
      <c r="AG17" s="59"/>
      <c r="AH17" s="63"/>
    </row>
    <row r="18" spans="1:34" x14ac:dyDescent="0.2">
      <c r="A18" s="48"/>
      <c r="B18" s="233">
        <v>33</v>
      </c>
      <c r="C18" s="234" t="s">
        <v>175</v>
      </c>
      <c r="D18" s="235">
        <v>0.66666666666666663</v>
      </c>
      <c r="E18" s="236"/>
      <c r="F18" s="270" t="s">
        <v>148</v>
      </c>
      <c r="G18" s="270"/>
      <c r="H18" s="270"/>
      <c r="I18" s="237" t="s">
        <v>12</v>
      </c>
      <c r="J18" s="279" t="s">
        <v>16</v>
      </c>
      <c r="K18" s="279"/>
      <c r="L18" s="279"/>
      <c r="M18" s="188">
        <v>2</v>
      </c>
      <c r="N18" s="186" t="s">
        <v>12</v>
      </c>
      <c r="O18" s="188">
        <v>1</v>
      </c>
      <c r="P18" s="143"/>
      <c r="Q18" s="51"/>
      <c r="R18" s="51"/>
      <c r="S18" s="111">
        <v>35</v>
      </c>
      <c r="T18" s="112" t="s">
        <v>175</v>
      </c>
      <c r="U18" s="113">
        <v>0.83333333333333337</v>
      </c>
      <c r="V18" s="114"/>
      <c r="W18" s="272" t="s">
        <v>150</v>
      </c>
      <c r="X18" s="272"/>
      <c r="Y18" s="272"/>
      <c r="Z18" s="115" t="s">
        <v>12</v>
      </c>
      <c r="AA18" s="273" t="s">
        <v>38</v>
      </c>
      <c r="AB18" s="273"/>
      <c r="AC18" s="273"/>
      <c r="AD18" s="188">
        <v>0</v>
      </c>
      <c r="AE18" s="115" t="s">
        <v>12</v>
      </c>
      <c r="AF18" s="188">
        <v>1</v>
      </c>
      <c r="AG18" s="59"/>
      <c r="AH18" s="63"/>
    </row>
    <row r="19" spans="1:34" x14ac:dyDescent="0.2">
      <c r="A19" s="48"/>
      <c r="B19" s="233">
        <v>34</v>
      </c>
      <c r="C19" s="234" t="s">
        <v>175</v>
      </c>
      <c r="D19" s="235">
        <v>0.66666666666666663</v>
      </c>
      <c r="E19" s="236"/>
      <c r="F19" s="270" t="s">
        <v>146</v>
      </c>
      <c r="G19" s="270"/>
      <c r="H19" s="270"/>
      <c r="I19" s="237" t="s">
        <v>12</v>
      </c>
      <c r="J19" s="271" t="s">
        <v>147</v>
      </c>
      <c r="K19" s="271"/>
      <c r="L19" s="271"/>
      <c r="M19" s="185">
        <v>0</v>
      </c>
      <c r="N19" s="186" t="s">
        <v>12</v>
      </c>
      <c r="O19" s="185">
        <v>2</v>
      </c>
      <c r="P19" s="143"/>
      <c r="Q19" s="51"/>
      <c r="R19" s="51"/>
      <c r="S19" s="111">
        <v>36</v>
      </c>
      <c r="T19" s="112" t="s">
        <v>175</v>
      </c>
      <c r="U19" s="113">
        <v>0.83333333333333337</v>
      </c>
      <c r="V19" s="114"/>
      <c r="W19" s="272" t="s">
        <v>28</v>
      </c>
      <c r="X19" s="272"/>
      <c r="Y19" s="272"/>
      <c r="Z19" s="115" t="s">
        <v>12</v>
      </c>
      <c r="AA19" s="273" t="s">
        <v>149</v>
      </c>
      <c r="AB19" s="273"/>
      <c r="AC19" s="273"/>
      <c r="AD19" s="185">
        <v>2</v>
      </c>
      <c r="AE19" s="115" t="s">
        <v>12</v>
      </c>
      <c r="AF19" s="185">
        <v>0</v>
      </c>
      <c r="AG19" s="59"/>
      <c r="AH19" s="63"/>
    </row>
    <row r="20" spans="1:34" ht="16" thickBot="1" x14ac:dyDescent="0.25">
      <c r="A20" s="48"/>
      <c r="B20" s="144"/>
      <c r="C20" s="145"/>
      <c r="D20" s="145"/>
      <c r="E20" s="146"/>
      <c r="F20" s="146"/>
      <c r="G20" s="146"/>
      <c r="H20" s="146"/>
      <c r="I20" s="145"/>
      <c r="J20" s="145"/>
      <c r="K20" s="145"/>
      <c r="L20" s="145"/>
      <c r="M20" s="147"/>
      <c r="N20" s="147"/>
      <c r="O20" s="147"/>
      <c r="P20" s="148"/>
      <c r="Q20" s="51"/>
      <c r="R20" s="51"/>
      <c r="S20" s="116"/>
      <c r="T20" s="94"/>
      <c r="U20" s="57"/>
      <c r="V20" s="94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118"/>
      <c r="AH20" s="63"/>
    </row>
    <row r="21" spans="1:34" ht="16" thickBot="1" x14ac:dyDescent="0.25">
      <c r="A21" s="48"/>
      <c r="B21" s="48"/>
      <c r="C21" s="48"/>
      <c r="D21" s="48"/>
      <c r="E21" s="276"/>
      <c r="F21" s="276"/>
      <c r="G21" s="48"/>
      <c r="H21" s="48"/>
      <c r="I21" s="48"/>
      <c r="J21" s="48"/>
      <c r="K21" s="66"/>
      <c r="L21" s="48"/>
      <c r="M21" s="51"/>
      <c r="N21" s="51"/>
      <c r="O21" s="51"/>
      <c r="P21" s="51"/>
      <c r="Q21" s="51"/>
      <c r="R21" s="51"/>
      <c r="S21" s="142"/>
      <c r="T21" s="142"/>
      <c r="U21" s="142"/>
      <c r="V21" s="142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</row>
    <row r="22" spans="1:34" ht="20.5" customHeight="1" thickBot="1" x14ac:dyDescent="0.25">
      <c r="A22" s="48"/>
      <c r="B22" s="277" t="s">
        <v>25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51"/>
      <c r="R22" s="51"/>
      <c r="S22" s="266" t="s">
        <v>26</v>
      </c>
      <c r="T22" s="266"/>
      <c r="U22" s="266"/>
      <c r="V22" s="266"/>
      <c r="W22" s="266"/>
      <c r="X22" s="266"/>
      <c r="Y22" s="266"/>
      <c r="Z22" s="266"/>
      <c r="AA22" s="266"/>
      <c r="AB22" s="266"/>
      <c r="AC22" s="266"/>
      <c r="AD22" s="266"/>
      <c r="AE22" s="266"/>
      <c r="AF22" s="266"/>
      <c r="AG22" s="266"/>
      <c r="AH22" s="63"/>
    </row>
    <row r="23" spans="1:34" ht="15" customHeight="1" x14ac:dyDescent="0.2">
      <c r="A23" s="48"/>
      <c r="B23" s="95"/>
      <c r="C23" s="259"/>
      <c r="D23" s="259"/>
      <c r="E23" s="97" t="s">
        <v>3</v>
      </c>
      <c r="F23" s="97" t="s">
        <v>4</v>
      </c>
      <c r="G23" s="97" t="s">
        <v>5</v>
      </c>
      <c r="H23" s="98" t="s">
        <v>6</v>
      </c>
      <c r="I23" s="96"/>
      <c r="J23" s="96"/>
      <c r="K23" s="96" t="s">
        <v>7</v>
      </c>
      <c r="L23" s="96"/>
      <c r="M23" s="99" t="s">
        <v>8</v>
      </c>
      <c r="N23" s="100" t="s">
        <v>9</v>
      </c>
      <c r="O23" s="99"/>
      <c r="P23" s="101"/>
      <c r="Q23" s="51"/>
      <c r="R23" s="51"/>
      <c r="S23" s="121"/>
      <c r="T23" s="99"/>
      <c r="U23" s="99"/>
      <c r="V23" s="99" t="s">
        <v>3</v>
      </c>
      <c r="W23" s="122" t="s">
        <v>4</v>
      </c>
      <c r="X23" s="122" t="s">
        <v>5</v>
      </c>
      <c r="Y23" s="123" t="s">
        <v>6</v>
      </c>
      <c r="Z23" s="122"/>
      <c r="AA23" s="122"/>
      <c r="AB23" s="122" t="s">
        <v>7</v>
      </c>
      <c r="AC23" s="122"/>
      <c r="AD23" s="122" t="s">
        <v>8</v>
      </c>
      <c r="AE23" s="122" t="s">
        <v>9</v>
      </c>
      <c r="AF23" s="122"/>
      <c r="AG23" s="179"/>
      <c r="AH23" s="63"/>
    </row>
    <row r="24" spans="1:34" ht="15" customHeight="1" x14ac:dyDescent="0.2">
      <c r="A24" s="48"/>
      <c r="B24" s="76" t="s">
        <v>10</v>
      </c>
      <c r="C24" s="284" t="str">
        <f>VLOOKUP(1,Gruppen!$A$18:$L$21,2,FALSE)</f>
        <v>Frankreich</v>
      </c>
      <c r="D24" s="284"/>
      <c r="E24" s="103">
        <f>VLOOKUP(1,Gruppen!$A$18:$L$21,3,FALSE)</f>
        <v>3</v>
      </c>
      <c r="F24" s="103">
        <f>VLOOKUP(1,Gruppen!$A$18:$L$21,4,FALSE)</f>
        <v>2</v>
      </c>
      <c r="G24" s="103">
        <f>VLOOKUP(1,Gruppen!$A$18:$L$21,5,FALSE)</f>
        <v>1</v>
      </c>
      <c r="H24" s="103" t="str">
        <f>VLOOKUP(1,Gruppen!$A$18:$L$21,6,FALSE)</f>
        <v xml:space="preserve">0         </v>
      </c>
      <c r="I24" s="78"/>
      <c r="J24" s="79">
        <f>VLOOKUP(1,Gruppen!$A$18:$L$21,7,FALSE)</f>
        <v>6</v>
      </c>
      <c r="K24" s="80" t="s">
        <v>12</v>
      </c>
      <c r="L24" s="77">
        <f>VLOOKUP(1,Gruppen!$A$18:$L$21,9,FALSE)</f>
        <v>2</v>
      </c>
      <c r="M24" s="81">
        <f>VLOOKUP(1,Gruppen!$A$18:$L$21,10,FALSE)</f>
        <v>4</v>
      </c>
      <c r="N24" s="81">
        <f>VLOOKUP(1,Gruppen!$A$18:$L$21,11,FALSE)</f>
        <v>7</v>
      </c>
      <c r="O24" s="82"/>
      <c r="P24" s="104"/>
      <c r="Q24" s="51"/>
      <c r="R24" s="51"/>
      <c r="S24" s="126" t="s">
        <v>10</v>
      </c>
      <c r="T24" s="267" t="str">
        <f>VLOOKUP(1,Gruppen!$A$24:$L$27,2,FALSE)</f>
        <v>Argentinien</v>
      </c>
      <c r="U24" s="267"/>
      <c r="V24" s="81">
        <f>VLOOKUP(1,Gruppen!$A$24:$L$27,3,FALSE)</f>
        <v>3</v>
      </c>
      <c r="W24" s="127">
        <f>VLOOKUP(1,Gruppen!$A$24:$L$27,4,FALSE)</f>
        <v>3</v>
      </c>
      <c r="X24" s="127">
        <f>VLOOKUP(1,Gruppen!$A$24:$L$27,5,FALSE)</f>
        <v>0</v>
      </c>
      <c r="Y24" s="127" t="str">
        <f>VLOOKUP(1,Gruppen!$A$24:$L$27,6,FALSE)</f>
        <v xml:space="preserve">0         </v>
      </c>
      <c r="Z24" s="128"/>
      <c r="AA24" s="129">
        <f>VLOOKUP(1,Gruppen!$A$24:$L$27,7,FALSE)</f>
        <v>5</v>
      </c>
      <c r="AB24" s="130" t="s">
        <v>12</v>
      </c>
      <c r="AC24" s="131">
        <f>VLOOKUP(1,Gruppen!$A$24:$L$27,9,FALSE)</f>
        <v>2</v>
      </c>
      <c r="AD24" s="127">
        <f>VLOOKUP(1,Gruppen!$A$24:$L$27,10,FALSE)</f>
        <v>3</v>
      </c>
      <c r="AE24" s="127">
        <f>VLOOKUP(1,Gruppen!$A$24:$L$27,11,FALSE)</f>
        <v>9</v>
      </c>
      <c r="AF24" s="130"/>
      <c r="AG24" s="180"/>
      <c r="AH24" s="63"/>
    </row>
    <row r="25" spans="1:34" ht="15.75" customHeight="1" x14ac:dyDescent="0.2">
      <c r="A25" s="48"/>
      <c r="B25" s="84" t="s">
        <v>13</v>
      </c>
      <c r="C25" s="285" t="str">
        <f>VLOOKUP(2,Gruppen!$A$18:$L$21,2,FALSE)</f>
        <v>Dänemark</v>
      </c>
      <c r="D25" s="285"/>
      <c r="E25" s="103">
        <f>VLOOKUP(2,Gruppen!$A$18:$L$21,3,FALSE)</f>
        <v>3</v>
      </c>
      <c r="F25" s="103">
        <f>VLOOKUP(2,Gruppen!$A$18:$L$21,4,FALSE)</f>
        <v>2</v>
      </c>
      <c r="G25" s="103">
        <f>VLOOKUP(2,Gruppen!$A$18:$L$21,5,FALSE)</f>
        <v>1</v>
      </c>
      <c r="H25" s="103" t="str">
        <f>VLOOKUP(2,Gruppen!$A$18:$L$21,6,FALSE)</f>
        <v xml:space="preserve">0         </v>
      </c>
      <c r="I25" s="78"/>
      <c r="J25" s="79">
        <f>VLOOKUP(2,Gruppen!$A$18:$L$21,7,FALSE)</f>
        <v>5</v>
      </c>
      <c r="K25" s="80" t="s">
        <v>12</v>
      </c>
      <c r="L25" s="77">
        <f>VLOOKUP(2,Gruppen!$A$18:$L$21,9,FALSE)</f>
        <v>1</v>
      </c>
      <c r="M25" s="81">
        <f>VLOOKUP(2,Gruppen!$A$18:$L$21,10,FALSE)</f>
        <v>4</v>
      </c>
      <c r="N25" s="81">
        <f>VLOOKUP(2,Gruppen!$A$18:$L$21,11,FALSE)</f>
        <v>7</v>
      </c>
      <c r="O25" s="82"/>
      <c r="P25" s="104"/>
      <c r="Q25" s="51"/>
      <c r="R25" s="51"/>
      <c r="S25" s="133" t="s">
        <v>13</v>
      </c>
      <c r="T25" s="268" t="str">
        <f>VLOOKUP(2,Gruppen!$A$24:$L$27,2,FALSE)</f>
        <v>Kroatien</v>
      </c>
      <c r="U25" s="268"/>
      <c r="V25" s="81">
        <f>VLOOKUP(2,Gruppen!$A$24:$L$27,3,FALSE)</f>
        <v>3</v>
      </c>
      <c r="W25" s="127">
        <f>VLOOKUP(2,Gruppen!$A$24:$L$27,4,FALSE)</f>
        <v>1</v>
      </c>
      <c r="X25" s="127">
        <f>VLOOKUP(2,Gruppen!$A$24:$L$27,5,FALSE)</f>
        <v>1</v>
      </c>
      <c r="Y25" s="127" t="str">
        <f>VLOOKUP(2,Gruppen!$A$24:$L$27,6,FALSE)</f>
        <v xml:space="preserve">1         </v>
      </c>
      <c r="Z25" s="128"/>
      <c r="AA25" s="129">
        <f>VLOOKUP(2,Gruppen!$A$24:$L$27,7,FALSE)</f>
        <v>4</v>
      </c>
      <c r="AB25" s="130" t="s">
        <v>12</v>
      </c>
      <c r="AC25" s="131">
        <f>VLOOKUP(2,Gruppen!$A$24:$L$27,9,FALSE)</f>
        <v>4</v>
      </c>
      <c r="AD25" s="127">
        <f>VLOOKUP(2,Gruppen!$A$24:$L$27,10,FALSE)</f>
        <v>0</v>
      </c>
      <c r="AE25" s="127">
        <f>VLOOKUP(2,Gruppen!$A$24:$L$27,11,FALSE)</f>
        <v>4</v>
      </c>
      <c r="AF25" s="130"/>
      <c r="AG25" s="181"/>
      <c r="AH25" s="63"/>
    </row>
    <row r="26" spans="1:34" x14ac:dyDescent="0.2">
      <c r="A26" s="48"/>
      <c r="B26" s="84" t="s">
        <v>14</v>
      </c>
      <c r="C26" s="285" t="str">
        <f>VLOOKUP(3,Gruppen!$A$18:$L$21,2,FALSE)</f>
        <v>Peru</v>
      </c>
      <c r="D26" s="285"/>
      <c r="E26" s="103">
        <f>VLOOKUP(3,Gruppen!$A$18:$L$21,3,FALSE)</f>
        <v>3</v>
      </c>
      <c r="F26" s="103">
        <f>VLOOKUP(3,Gruppen!$A$18:$L$21,4,FALSE)</f>
        <v>1</v>
      </c>
      <c r="G26" s="103">
        <f>VLOOKUP(3,Gruppen!$A$18:$L$21,5,FALSE)</f>
        <v>0</v>
      </c>
      <c r="H26" s="103" t="str">
        <f>VLOOKUP(3,Gruppen!$A$18:$L$21,6,FALSE)</f>
        <v xml:space="preserve">2         </v>
      </c>
      <c r="I26" s="78"/>
      <c r="J26" s="79">
        <f>VLOOKUP(3,Gruppen!$A$18:$L$21,7,FALSE)</f>
        <v>3</v>
      </c>
      <c r="K26" s="80" t="s">
        <v>12</v>
      </c>
      <c r="L26" s="77">
        <f>VLOOKUP(3,Gruppen!$A$18:$L$21,9,FALSE)</f>
        <v>5</v>
      </c>
      <c r="M26" s="81">
        <f>VLOOKUP(3,Gruppen!$A$18:$L$21,10,FALSE)</f>
        <v>-2</v>
      </c>
      <c r="N26" s="81">
        <f>VLOOKUP(3,Gruppen!$A$18:$L$21,11,FALSE)</f>
        <v>3</v>
      </c>
      <c r="O26" s="82"/>
      <c r="P26" s="105"/>
      <c r="Q26" s="51"/>
      <c r="R26" s="51"/>
      <c r="S26" s="133" t="s">
        <v>14</v>
      </c>
      <c r="T26" s="268" t="str">
        <f>VLOOKUP(3,Gruppen!$A$24:$L$27,2,FALSE)</f>
        <v>Nigeria</v>
      </c>
      <c r="U26" s="268"/>
      <c r="V26" s="81">
        <f>VLOOKUP(3,Gruppen!$A$24:$L$27,3,FALSE)</f>
        <v>3</v>
      </c>
      <c r="W26" s="127">
        <f>VLOOKUP(3,Gruppen!$A$24:$L$27,4,FALSE)</f>
        <v>0</v>
      </c>
      <c r="X26" s="127">
        <f>VLOOKUP(3,Gruppen!$A$24:$L$27,5,FALSE)</f>
        <v>2</v>
      </c>
      <c r="Y26" s="127" t="str">
        <f>VLOOKUP(3,Gruppen!$A$24:$L$27,6,FALSE)</f>
        <v xml:space="preserve">1         </v>
      </c>
      <c r="Z26" s="128"/>
      <c r="AA26" s="129">
        <f>VLOOKUP(3,Gruppen!$A$24:$L$27,7,FALSE)</f>
        <v>3</v>
      </c>
      <c r="AB26" s="130" t="s">
        <v>12</v>
      </c>
      <c r="AC26" s="131">
        <f>VLOOKUP(3,Gruppen!$A$24:$L$27,9,FALSE)</f>
        <v>4</v>
      </c>
      <c r="AD26" s="127">
        <f>VLOOKUP(3,Gruppen!$A$24:$L$27,10,FALSE)</f>
        <v>-1</v>
      </c>
      <c r="AE26" s="127">
        <f>VLOOKUP(3,Gruppen!$A$24:$L$27,11,FALSE)</f>
        <v>2</v>
      </c>
      <c r="AF26" s="130"/>
      <c r="AG26" s="181"/>
      <c r="AH26" s="63"/>
    </row>
    <row r="27" spans="1:34" ht="15.75" customHeight="1" thickBot="1" x14ac:dyDescent="0.25">
      <c r="A27" s="48"/>
      <c r="B27" s="86" t="s">
        <v>17</v>
      </c>
      <c r="C27" s="280" t="str">
        <f>VLOOKUP(4,Gruppen!$A$18:$L$21,2,FALSE)</f>
        <v>Australien</v>
      </c>
      <c r="D27" s="280"/>
      <c r="E27" s="106">
        <f>VLOOKUP(4,Gruppen!$A$18:$L$21,3,FALSE)</f>
        <v>3</v>
      </c>
      <c r="F27" s="106">
        <f>VLOOKUP(4,Gruppen!$A$18:$L$21,4,FALSE)</f>
        <v>0</v>
      </c>
      <c r="G27" s="106">
        <f>VLOOKUP(4,Gruppen!$A$18:$L$21,5,FALSE)</f>
        <v>0</v>
      </c>
      <c r="H27" s="106" t="str">
        <f>VLOOKUP(4,Gruppen!$A$18:$L$21,6,FALSE)</f>
        <v xml:space="preserve">3         </v>
      </c>
      <c r="I27" s="88"/>
      <c r="J27" s="89">
        <f>VLOOKUP(4,Gruppen!$A$18:$L$21,7,FALSE)</f>
        <v>1</v>
      </c>
      <c r="K27" s="90" t="s">
        <v>12</v>
      </c>
      <c r="L27" s="87">
        <f>VLOOKUP(4,Gruppen!$A$18:$L$21,9,FALSE)</f>
        <v>7</v>
      </c>
      <c r="M27" s="91">
        <f>VLOOKUP(4,Gruppen!$A$18:$L$21,10,FALSE)</f>
        <v>-6</v>
      </c>
      <c r="N27" s="91">
        <f>VLOOKUP(4,Gruppen!$A$18:$L$21,11,FALSE)</f>
        <v>0</v>
      </c>
      <c r="O27" s="92"/>
      <c r="P27" s="107"/>
      <c r="Q27" s="51"/>
      <c r="R27" s="51"/>
      <c r="S27" s="135" t="s">
        <v>17</v>
      </c>
      <c r="T27" s="269" t="str">
        <f>VLOOKUP(4,Gruppen!$A$24:$L$27,2,FALSE)</f>
        <v>Island</v>
      </c>
      <c r="U27" s="269"/>
      <c r="V27" s="91">
        <f>VLOOKUP(4,Gruppen!$A$24:$L$27,3,FALSE)</f>
        <v>3</v>
      </c>
      <c r="W27" s="136">
        <f>VLOOKUP(4,Gruppen!$A$24:$L$27,4,FALSE)</f>
        <v>0</v>
      </c>
      <c r="X27" s="136">
        <f>VLOOKUP(4,Gruppen!$A$24:$L$27,5,FALSE)</f>
        <v>1</v>
      </c>
      <c r="Y27" s="136" t="str">
        <f>VLOOKUP(4,Gruppen!$A$24:$L$27,6,FALSE)</f>
        <v xml:space="preserve">2         </v>
      </c>
      <c r="Z27" s="137"/>
      <c r="AA27" s="138">
        <f>VLOOKUP(4,Gruppen!$A$24:$L$27,7,FALSE)</f>
        <v>2</v>
      </c>
      <c r="AB27" s="139" t="s">
        <v>12</v>
      </c>
      <c r="AC27" s="140">
        <f>VLOOKUP(4,Gruppen!$A$24:$L$27,9,FALSE)</f>
        <v>4</v>
      </c>
      <c r="AD27" s="136">
        <f>VLOOKUP(4,Gruppen!$A$24:$L$27,10,FALSE)</f>
        <v>-2</v>
      </c>
      <c r="AE27" s="136">
        <f>VLOOKUP(4,Gruppen!$A$24:$L$27,11,FALSE)</f>
        <v>1</v>
      </c>
      <c r="AF27" s="139"/>
      <c r="AG27" s="182"/>
      <c r="AH27" s="63"/>
    </row>
    <row r="28" spans="1:34" ht="15.75" customHeight="1" thickBot="1" x14ac:dyDescent="0.25">
      <c r="A28" s="48"/>
      <c r="B28" s="53"/>
      <c r="C28" s="54"/>
      <c r="D28" s="54"/>
      <c r="E28" s="50"/>
      <c r="F28" s="50"/>
      <c r="G28" s="50"/>
      <c r="H28" s="50"/>
      <c r="I28" s="48"/>
      <c r="J28" s="48"/>
      <c r="K28" s="50"/>
      <c r="L28" s="54"/>
      <c r="M28" s="51"/>
      <c r="N28" s="51"/>
      <c r="O28" s="56"/>
      <c r="P28" s="51"/>
      <c r="Q28" s="51"/>
      <c r="R28" s="51"/>
      <c r="S28" s="61"/>
      <c r="T28" s="62"/>
      <c r="U28" s="62"/>
      <c r="V28" s="56"/>
      <c r="W28" s="47"/>
      <c r="X28" s="47"/>
      <c r="Y28" s="47"/>
      <c r="Z28" s="63"/>
      <c r="AA28" s="63"/>
      <c r="AB28" s="47"/>
      <c r="AC28" s="64"/>
      <c r="AD28" s="47"/>
      <c r="AE28" s="47"/>
      <c r="AF28" s="47"/>
      <c r="AG28" s="63"/>
      <c r="AH28" s="63"/>
    </row>
    <row r="29" spans="1:34" ht="30" customHeight="1" x14ac:dyDescent="0.2">
      <c r="A29" s="48"/>
      <c r="B29" s="266" t="s">
        <v>31</v>
      </c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6"/>
      <c r="P29" s="266"/>
      <c r="Q29" s="51"/>
      <c r="R29" s="51"/>
      <c r="S29" s="281" t="s">
        <v>32</v>
      </c>
      <c r="T29" s="281"/>
      <c r="U29" s="281"/>
      <c r="V29" s="281"/>
      <c r="W29" s="281"/>
      <c r="X29" s="281"/>
      <c r="Y29" s="281"/>
      <c r="Z29" s="281"/>
      <c r="AA29" s="281"/>
      <c r="AB29" s="281"/>
      <c r="AC29" s="281"/>
      <c r="AD29" s="281"/>
      <c r="AE29" s="281"/>
      <c r="AF29" s="281"/>
      <c r="AG29" s="281"/>
      <c r="AH29" s="63"/>
    </row>
    <row r="30" spans="1:34" ht="15.75" customHeight="1" x14ac:dyDescent="0.2">
      <c r="A30" s="48"/>
      <c r="B30" s="158" t="s">
        <v>21</v>
      </c>
      <c r="C30" s="258" t="s">
        <v>22</v>
      </c>
      <c r="D30" s="159" t="s">
        <v>23</v>
      </c>
      <c r="E30" s="160"/>
      <c r="F30" s="282" t="s">
        <v>24</v>
      </c>
      <c r="G30" s="282"/>
      <c r="H30" s="282"/>
      <c r="I30" s="282"/>
      <c r="J30" s="282"/>
      <c r="K30" s="282"/>
      <c r="L30" s="282"/>
      <c r="M30" s="170"/>
      <c r="N30" s="170" t="s">
        <v>7</v>
      </c>
      <c r="O30" s="170"/>
      <c r="P30" s="171"/>
      <c r="Q30" s="51"/>
      <c r="R30" s="51"/>
      <c r="S30" s="174" t="s">
        <v>21</v>
      </c>
      <c r="T30" s="256" t="s">
        <v>22</v>
      </c>
      <c r="U30" s="175" t="s">
        <v>23</v>
      </c>
      <c r="V30" s="175"/>
      <c r="W30" s="283" t="s">
        <v>24</v>
      </c>
      <c r="X30" s="283"/>
      <c r="Y30" s="283"/>
      <c r="Z30" s="283"/>
      <c r="AA30" s="283"/>
      <c r="AB30" s="283"/>
      <c r="AC30" s="283"/>
      <c r="AD30" s="177"/>
      <c r="AE30" s="177" t="s">
        <v>7</v>
      </c>
      <c r="AF30" s="178"/>
      <c r="AG30" s="59"/>
      <c r="AH30" s="47"/>
    </row>
    <row r="31" spans="1:34" x14ac:dyDescent="0.2">
      <c r="A31" s="48"/>
      <c r="B31" s="162">
        <v>5</v>
      </c>
      <c r="C31" s="163" t="s">
        <v>193</v>
      </c>
      <c r="D31" s="164">
        <v>0.5</v>
      </c>
      <c r="E31" s="165"/>
      <c r="F31" s="288" t="s">
        <v>11</v>
      </c>
      <c r="G31" s="288"/>
      <c r="H31" s="288"/>
      <c r="I31" s="166" t="s">
        <v>12</v>
      </c>
      <c r="J31" s="289" t="s">
        <v>151</v>
      </c>
      <c r="K31" s="289"/>
      <c r="L31" s="289"/>
      <c r="M31" s="185">
        <v>3</v>
      </c>
      <c r="N31" s="172" t="s">
        <v>12</v>
      </c>
      <c r="O31" s="185">
        <v>0</v>
      </c>
      <c r="P31" s="171"/>
      <c r="Q31" s="51"/>
      <c r="R31" s="51"/>
      <c r="S31" s="176">
        <v>7</v>
      </c>
      <c r="T31" s="112" t="s">
        <v>193</v>
      </c>
      <c r="U31" s="113">
        <v>0.625</v>
      </c>
      <c r="V31" s="114"/>
      <c r="W31" s="286" t="s">
        <v>170</v>
      </c>
      <c r="X31" s="286"/>
      <c r="Y31" s="286"/>
      <c r="Z31" s="115" t="s">
        <v>12</v>
      </c>
      <c r="AA31" s="287" t="s">
        <v>36</v>
      </c>
      <c r="AB31" s="287"/>
      <c r="AC31" s="287"/>
      <c r="AD31" s="185">
        <v>1</v>
      </c>
      <c r="AE31" s="115" t="s">
        <v>12</v>
      </c>
      <c r="AF31" s="185">
        <v>0</v>
      </c>
      <c r="AG31" s="59"/>
      <c r="AH31" s="63"/>
    </row>
    <row r="32" spans="1:34" x14ac:dyDescent="0.2">
      <c r="A32" s="48"/>
      <c r="B32" s="162">
        <v>6</v>
      </c>
      <c r="C32" s="163" t="s">
        <v>193</v>
      </c>
      <c r="D32" s="164">
        <v>0.75</v>
      </c>
      <c r="E32" s="165"/>
      <c r="F32" s="288" t="s">
        <v>152</v>
      </c>
      <c r="G32" s="288"/>
      <c r="H32" s="288"/>
      <c r="I32" s="166" t="s">
        <v>12</v>
      </c>
      <c r="J32" s="289" t="s">
        <v>153</v>
      </c>
      <c r="K32" s="289"/>
      <c r="L32" s="289"/>
      <c r="M32" s="185">
        <v>0</v>
      </c>
      <c r="N32" s="172" t="s">
        <v>12</v>
      </c>
      <c r="O32" s="185">
        <v>2</v>
      </c>
      <c r="P32" s="171"/>
      <c r="Q32" s="51"/>
      <c r="R32" s="51"/>
      <c r="S32" s="176">
        <v>8</v>
      </c>
      <c r="T32" s="112" t="s">
        <v>193</v>
      </c>
      <c r="U32" s="113">
        <v>0.875</v>
      </c>
      <c r="V32" s="114"/>
      <c r="W32" s="286" t="s">
        <v>30</v>
      </c>
      <c r="X32" s="286"/>
      <c r="Y32" s="286"/>
      <c r="Z32" s="115" t="s">
        <v>12</v>
      </c>
      <c r="AA32" s="287" t="s">
        <v>155</v>
      </c>
      <c r="AB32" s="287"/>
      <c r="AC32" s="287"/>
      <c r="AD32" s="185">
        <v>1</v>
      </c>
      <c r="AE32" s="115" t="s">
        <v>12</v>
      </c>
      <c r="AF32" s="185">
        <v>1</v>
      </c>
      <c r="AG32" s="59"/>
      <c r="AH32" s="63"/>
    </row>
    <row r="33" spans="1:34" x14ac:dyDescent="0.2">
      <c r="A33" s="48"/>
      <c r="B33" s="162">
        <v>21</v>
      </c>
      <c r="C33" s="163" t="s">
        <v>194</v>
      </c>
      <c r="D33" s="164">
        <v>0.58333333333333337</v>
      </c>
      <c r="E33" s="165"/>
      <c r="F33" s="288" t="s">
        <v>153</v>
      </c>
      <c r="G33" s="288"/>
      <c r="H33" s="288"/>
      <c r="I33" s="166" t="s">
        <v>12</v>
      </c>
      <c r="J33" s="289" t="s">
        <v>151</v>
      </c>
      <c r="K33" s="289"/>
      <c r="L33" s="289"/>
      <c r="M33" s="187">
        <v>2</v>
      </c>
      <c r="N33" s="172" t="s">
        <v>12</v>
      </c>
      <c r="O33" s="187">
        <v>0</v>
      </c>
      <c r="P33" s="171"/>
      <c r="Q33" s="51"/>
      <c r="R33" s="51"/>
      <c r="S33" s="176">
        <v>23</v>
      </c>
      <c r="T33" s="112" t="s">
        <v>194</v>
      </c>
      <c r="U33" s="113">
        <v>0.83333333333333337</v>
      </c>
      <c r="V33" s="114"/>
      <c r="W33" s="286" t="s">
        <v>170</v>
      </c>
      <c r="X33" s="286"/>
      <c r="Y33" s="286"/>
      <c r="Z33" s="115" t="s">
        <v>12</v>
      </c>
      <c r="AA33" s="287" t="s">
        <v>30</v>
      </c>
      <c r="AB33" s="287"/>
      <c r="AC33" s="287"/>
      <c r="AD33" s="187">
        <v>2</v>
      </c>
      <c r="AE33" s="115" t="s">
        <v>12</v>
      </c>
      <c r="AF33" s="187">
        <v>1</v>
      </c>
      <c r="AG33" s="59"/>
      <c r="AH33" s="63"/>
    </row>
    <row r="34" spans="1:34" x14ac:dyDescent="0.2">
      <c r="A34" s="48"/>
      <c r="B34" s="162">
        <v>22</v>
      </c>
      <c r="C34" s="163" t="s">
        <v>194</v>
      </c>
      <c r="D34" s="164">
        <v>0.70833333333333337</v>
      </c>
      <c r="E34" s="165"/>
      <c r="F34" s="288" t="s">
        <v>11</v>
      </c>
      <c r="G34" s="288"/>
      <c r="H34" s="288"/>
      <c r="I34" s="166" t="s">
        <v>12</v>
      </c>
      <c r="J34" s="289" t="s">
        <v>152</v>
      </c>
      <c r="K34" s="289"/>
      <c r="L34" s="289"/>
      <c r="M34" s="185">
        <v>2</v>
      </c>
      <c r="N34" s="172" t="s">
        <v>12</v>
      </c>
      <c r="O34" s="185">
        <v>1</v>
      </c>
      <c r="P34" s="171"/>
      <c r="Q34" s="51"/>
      <c r="R34" s="51"/>
      <c r="S34" s="176">
        <v>24</v>
      </c>
      <c r="T34" s="112" t="s">
        <v>177</v>
      </c>
      <c r="U34" s="113">
        <v>0.70833333333333337</v>
      </c>
      <c r="V34" s="114"/>
      <c r="W34" s="286" t="s">
        <v>155</v>
      </c>
      <c r="X34" s="286"/>
      <c r="Y34" s="286"/>
      <c r="Z34" s="115" t="s">
        <v>12</v>
      </c>
      <c r="AA34" s="287" t="s">
        <v>36</v>
      </c>
      <c r="AB34" s="287"/>
      <c r="AC34" s="287"/>
      <c r="AD34" s="185">
        <v>1</v>
      </c>
      <c r="AE34" s="115" t="s">
        <v>12</v>
      </c>
      <c r="AF34" s="185">
        <v>1</v>
      </c>
      <c r="AG34" s="59"/>
      <c r="AH34" s="63"/>
    </row>
    <row r="35" spans="1:34" x14ac:dyDescent="0.2">
      <c r="A35" s="48"/>
      <c r="B35" s="162">
        <v>37</v>
      </c>
      <c r="C35" s="163" t="s">
        <v>195</v>
      </c>
      <c r="D35" s="164">
        <v>0.66666666666666663</v>
      </c>
      <c r="E35" s="165"/>
      <c r="F35" s="288" t="s">
        <v>153</v>
      </c>
      <c r="G35" s="288"/>
      <c r="H35" s="288"/>
      <c r="I35" s="166" t="s">
        <v>12</v>
      </c>
      <c r="J35" s="289" t="s">
        <v>11</v>
      </c>
      <c r="K35" s="289"/>
      <c r="L35" s="289"/>
      <c r="M35" s="188">
        <v>1</v>
      </c>
      <c r="N35" s="172" t="s">
        <v>12</v>
      </c>
      <c r="O35" s="188">
        <v>1</v>
      </c>
      <c r="P35" s="171"/>
      <c r="Q35" s="51"/>
      <c r="R35" s="51"/>
      <c r="S35" s="176">
        <v>39</v>
      </c>
      <c r="T35" s="112" t="s">
        <v>195</v>
      </c>
      <c r="U35" s="113">
        <v>0.83333333333333337</v>
      </c>
      <c r="V35" s="114"/>
      <c r="W35" s="286" t="s">
        <v>155</v>
      </c>
      <c r="X35" s="286"/>
      <c r="Y35" s="286"/>
      <c r="Z35" s="115" t="s">
        <v>12</v>
      </c>
      <c r="AA35" s="287" t="s">
        <v>170</v>
      </c>
      <c r="AB35" s="287"/>
      <c r="AC35" s="287"/>
      <c r="AD35" s="188">
        <v>1</v>
      </c>
      <c r="AE35" s="115" t="s">
        <v>12</v>
      </c>
      <c r="AF35" s="188">
        <v>2</v>
      </c>
      <c r="AG35" s="59"/>
      <c r="AH35" s="63"/>
    </row>
    <row r="36" spans="1:34" x14ac:dyDescent="0.2">
      <c r="A36" s="48"/>
      <c r="B36" s="162">
        <v>38</v>
      </c>
      <c r="C36" s="163" t="s">
        <v>195</v>
      </c>
      <c r="D36" s="164">
        <v>0.66666666666666663</v>
      </c>
      <c r="E36" s="165"/>
      <c r="F36" s="288" t="s">
        <v>151</v>
      </c>
      <c r="G36" s="288"/>
      <c r="H36" s="288"/>
      <c r="I36" s="166" t="s">
        <v>12</v>
      </c>
      <c r="J36" s="289" t="s">
        <v>152</v>
      </c>
      <c r="K36" s="289"/>
      <c r="L36" s="289"/>
      <c r="M36" s="185">
        <v>1</v>
      </c>
      <c r="N36" s="172" t="s">
        <v>12</v>
      </c>
      <c r="O36" s="185">
        <v>2</v>
      </c>
      <c r="P36" s="171"/>
      <c r="Q36" s="51"/>
      <c r="R36" s="51"/>
      <c r="S36" s="176">
        <v>40</v>
      </c>
      <c r="T36" s="112" t="s">
        <v>195</v>
      </c>
      <c r="U36" s="113">
        <v>0.83333333333333337</v>
      </c>
      <c r="V36" s="114"/>
      <c r="W36" s="286" t="s">
        <v>36</v>
      </c>
      <c r="X36" s="286"/>
      <c r="Y36" s="286"/>
      <c r="Z36" s="115" t="s">
        <v>12</v>
      </c>
      <c r="AA36" s="287" t="s">
        <v>30</v>
      </c>
      <c r="AB36" s="287"/>
      <c r="AC36" s="287"/>
      <c r="AD36" s="185">
        <v>1</v>
      </c>
      <c r="AE36" s="115" t="s">
        <v>12</v>
      </c>
      <c r="AF36" s="185">
        <v>2</v>
      </c>
      <c r="AG36" s="59"/>
      <c r="AH36" s="63"/>
    </row>
    <row r="37" spans="1:34" ht="16" thickBot="1" x14ac:dyDescent="0.25">
      <c r="A37" s="48"/>
      <c r="B37" s="167"/>
      <c r="C37" s="168"/>
      <c r="D37" s="169"/>
      <c r="E37" s="168"/>
      <c r="F37" s="168"/>
      <c r="G37" s="168"/>
      <c r="H37" s="168"/>
      <c r="I37" s="168"/>
      <c r="J37" s="168"/>
      <c r="K37" s="168"/>
      <c r="L37" s="168"/>
      <c r="M37" s="94"/>
      <c r="N37" s="94"/>
      <c r="O37" s="94"/>
      <c r="P37" s="173"/>
      <c r="Q37" s="51"/>
      <c r="R37" s="51"/>
      <c r="S37" s="116"/>
      <c r="T37" s="94"/>
      <c r="U37" s="94"/>
      <c r="V37" s="94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118"/>
      <c r="AH37" s="63"/>
    </row>
    <row r="38" spans="1:34" ht="16" thickBot="1" x14ac:dyDescent="0.25">
      <c r="A38" s="48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51"/>
      <c r="N38" s="51"/>
      <c r="O38" s="51"/>
      <c r="P38" s="51"/>
      <c r="Q38" s="51"/>
      <c r="R38" s="51"/>
      <c r="S38" s="52"/>
      <c r="T38" s="51"/>
      <c r="U38" s="51"/>
      <c r="V38" s="51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</row>
    <row r="39" spans="1:34" ht="21" customHeight="1" x14ac:dyDescent="0.2">
      <c r="A39" s="48"/>
      <c r="B39" s="266" t="s">
        <v>33</v>
      </c>
      <c r="C39" s="266"/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6"/>
      <c r="P39" s="266"/>
      <c r="Q39" s="51"/>
      <c r="R39" s="51"/>
      <c r="S39" s="266" t="s">
        <v>34</v>
      </c>
      <c r="T39" s="266"/>
      <c r="U39" s="266"/>
      <c r="V39" s="266"/>
      <c r="W39" s="266"/>
      <c r="X39" s="266"/>
      <c r="Y39" s="266"/>
      <c r="Z39" s="266"/>
      <c r="AA39" s="266"/>
      <c r="AB39" s="266"/>
      <c r="AC39" s="266"/>
      <c r="AD39" s="266"/>
      <c r="AE39" s="266"/>
      <c r="AF39" s="266"/>
      <c r="AG39" s="266"/>
      <c r="AH39" s="63"/>
    </row>
    <row r="40" spans="1:34" x14ac:dyDescent="0.2">
      <c r="A40" s="48"/>
      <c r="B40" s="95"/>
      <c r="C40" s="97"/>
      <c r="D40" s="97"/>
      <c r="E40" s="97" t="s">
        <v>3</v>
      </c>
      <c r="F40" s="97" t="s">
        <v>4</v>
      </c>
      <c r="G40" s="97" t="s">
        <v>5</v>
      </c>
      <c r="H40" s="98" t="s">
        <v>6</v>
      </c>
      <c r="I40" s="97"/>
      <c r="J40" s="97"/>
      <c r="K40" s="97" t="s">
        <v>7</v>
      </c>
      <c r="L40" s="97"/>
      <c r="M40" s="99" t="s">
        <v>8</v>
      </c>
      <c r="N40" s="99" t="s">
        <v>9</v>
      </c>
      <c r="O40" s="99"/>
      <c r="P40" s="101"/>
      <c r="Q40" s="51"/>
      <c r="R40" s="51"/>
      <c r="S40" s="121"/>
      <c r="T40" s="183"/>
      <c r="U40" s="183"/>
      <c r="V40" s="99" t="s">
        <v>3</v>
      </c>
      <c r="W40" s="122" t="s">
        <v>4</v>
      </c>
      <c r="X40" s="122" t="s">
        <v>5</v>
      </c>
      <c r="Y40" s="123" t="s">
        <v>6</v>
      </c>
      <c r="Z40" s="122"/>
      <c r="AA40" s="122"/>
      <c r="AB40" s="122" t="s">
        <v>7</v>
      </c>
      <c r="AC40" s="122"/>
      <c r="AD40" s="122" t="s">
        <v>8</v>
      </c>
      <c r="AE40" s="122" t="s">
        <v>9</v>
      </c>
      <c r="AF40" s="122"/>
      <c r="AG40" s="184"/>
      <c r="AH40" s="63"/>
    </row>
    <row r="41" spans="1:34" x14ac:dyDescent="0.2">
      <c r="A41" s="48"/>
      <c r="B41" s="76" t="s">
        <v>10</v>
      </c>
      <c r="C41" s="284" t="str">
        <f>VLOOKUP(1,Gruppen!$A$30:$L$33,2,FALSE)</f>
        <v>Brasilien</v>
      </c>
      <c r="D41" s="284"/>
      <c r="E41" s="103">
        <f>VLOOKUP(1,Gruppen!$A$30:$L$33,3,FALSE)</f>
        <v>3</v>
      </c>
      <c r="F41" s="103">
        <f>VLOOKUP(1,Gruppen!$A$30:$L$33,4,FALSE)</f>
        <v>3</v>
      </c>
      <c r="G41" s="103">
        <f>VLOOKUP(1,Gruppen!$A$30:$L$33,5,FALSE)</f>
        <v>0</v>
      </c>
      <c r="H41" s="103" t="str">
        <f>VLOOKUP(1,Gruppen!$A$30:$L$33,6,FALSE)</f>
        <v xml:space="preserve">0         </v>
      </c>
      <c r="I41" s="80"/>
      <c r="J41" s="79">
        <f>VLOOKUP(1,Gruppen!$A$30:$L$33,7,FALSE)</f>
        <v>6</v>
      </c>
      <c r="K41" s="80" t="s">
        <v>12</v>
      </c>
      <c r="L41" s="102">
        <f>VLOOKUP(1,Gruppen!$A$30:$L$33,9,FALSE)</f>
        <v>2</v>
      </c>
      <c r="M41" s="81">
        <f>VLOOKUP(1,Gruppen!$A$30:$L$33,10,FALSE)</f>
        <v>4</v>
      </c>
      <c r="N41" s="81">
        <f>VLOOKUP(1,Gruppen!$A$30:$L$33,11,FALSE)</f>
        <v>9</v>
      </c>
      <c r="O41" s="82"/>
      <c r="P41" s="104"/>
      <c r="Q41" s="51"/>
      <c r="R41" s="51"/>
      <c r="S41" s="126" t="s">
        <v>10</v>
      </c>
      <c r="T41" s="267" t="str">
        <f>VLOOKUP(1,Gruppen!$A$36:$L$39,2,FALSE)</f>
        <v>Deutschland</v>
      </c>
      <c r="U41" s="267"/>
      <c r="V41" s="81">
        <f>VLOOKUP(1,Gruppen!$A$36:$L$39,3,FALSE)</f>
        <v>3</v>
      </c>
      <c r="W41" s="127">
        <f>VLOOKUP(1,Gruppen!$A$36:$L$39,4,FALSE)</f>
        <v>3</v>
      </c>
      <c r="X41" s="127">
        <f>VLOOKUP(1,Gruppen!$A$36:$L$39,5,FALSE)</f>
        <v>0</v>
      </c>
      <c r="Y41" s="127" t="str">
        <f>VLOOKUP(1,Gruppen!$A$36:$L$39,6,FALSE)</f>
        <v xml:space="preserve">0         </v>
      </c>
      <c r="Z41" s="128"/>
      <c r="AA41" s="129">
        <f>VLOOKUP(1,Gruppen!$A$36:$L$39,7,FALSE)</f>
        <v>4</v>
      </c>
      <c r="AB41" s="130" t="s">
        <v>12</v>
      </c>
      <c r="AC41" s="131">
        <f>VLOOKUP(1,Gruppen!$A$36:$L$39,9,FALSE)</f>
        <v>0</v>
      </c>
      <c r="AD41" s="127">
        <f>VLOOKUP(1,Gruppen!$A$36:$L$39,10,FALSE)</f>
        <v>4</v>
      </c>
      <c r="AE41" s="127">
        <f>VLOOKUP(1,Gruppen!$A$36:$L$39,11,FALSE)</f>
        <v>9</v>
      </c>
      <c r="AF41" s="130"/>
      <c r="AG41" s="180"/>
      <c r="AH41" s="63"/>
    </row>
    <row r="42" spans="1:34" x14ac:dyDescent="0.2">
      <c r="A42" s="48"/>
      <c r="B42" s="84" t="s">
        <v>13</v>
      </c>
      <c r="C42" s="285" t="str">
        <f>VLOOKUP(2,Gruppen!$A$30:$L$33,2,FALSE)</f>
        <v>Schweiz</v>
      </c>
      <c r="D42" s="285"/>
      <c r="E42" s="103">
        <f>VLOOKUP(2,Gruppen!$A$30:$L$33,3,FALSE)</f>
        <v>3</v>
      </c>
      <c r="F42" s="103">
        <f>VLOOKUP(2,Gruppen!$A$30:$L$33,4,FALSE)</f>
        <v>1</v>
      </c>
      <c r="G42" s="103">
        <f>VLOOKUP(2,Gruppen!$A$30:$L$33,5,FALSE)</f>
        <v>1</v>
      </c>
      <c r="H42" s="103" t="str">
        <f>VLOOKUP(2,Gruppen!$A$30:$L$33,6,FALSE)</f>
        <v xml:space="preserve">1         </v>
      </c>
      <c r="I42" s="80"/>
      <c r="J42" s="79">
        <f>VLOOKUP(2,Gruppen!$A$30:$L$33,7,FALSE)</f>
        <v>4</v>
      </c>
      <c r="K42" s="80" t="s">
        <v>12</v>
      </c>
      <c r="L42" s="102">
        <f>VLOOKUP(2,Gruppen!$A$30:$L$33,9,FALSE)</f>
        <v>4</v>
      </c>
      <c r="M42" s="81">
        <f>VLOOKUP(2,Gruppen!$A$30:$L$33,10,FALSE)</f>
        <v>0</v>
      </c>
      <c r="N42" s="81">
        <f>VLOOKUP(2,Gruppen!$A$30:$L$33,11,FALSE)</f>
        <v>4</v>
      </c>
      <c r="O42" s="82"/>
      <c r="P42" s="105"/>
      <c r="Q42" s="51"/>
      <c r="R42" s="51"/>
      <c r="S42" s="133" t="s">
        <v>13</v>
      </c>
      <c r="T42" s="268" t="str">
        <f>VLOOKUP(2,Gruppen!$A$36:$L$39,2,FALSE)</f>
        <v>Schweden</v>
      </c>
      <c r="U42" s="268"/>
      <c r="V42" s="81">
        <f>VLOOKUP(2,Gruppen!$A$36:$L$39,3,FALSE)</f>
        <v>3</v>
      </c>
      <c r="W42" s="127">
        <f>VLOOKUP(2,Gruppen!$A$36:$L$39,4,FALSE)</f>
        <v>2</v>
      </c>
      <c r="X42" s="127">
        <f>VLOOKUP(2,Gruppen!$A$36:$L$39,5,FALSE)</f>
        <v>0</v>
      </c>
      <c r="Y42" s="127" t="str">
        <f>VLOOKUP(2,Gruppen!$A$36:$L$39,6,FALSE)</f>
        <v xml:space="preserve">1         </v>
      </c>
      <c r="Z42" s="128"/>
      <c r="AA42" s="129">
        <f>VLOOKUP(2,Gruppen!$A$36:$L$39,7,FALSE)</f>
        <v>3</v>
      </c>
      <c r="AB42" s="130" t="s">
        <v>12</v>
      </c>
      <c r="AC42" s="131">
        <f>VLOOKUP(2,Gruppen!$A$36:$L$39,9,FALSE)</f>
        <v>1</v>
      </c>
      <c r="AD42" s="127">
        <f>VLOOKUP(2,Gruppen!$A$36:$L$39,10,FALSE)</f>
        <v>2</v>
      </c>
      <c r="AE42" s="127">
        <f>VLOOKUP(2,Gruppen!$A$36:$L$39,11,FALSE)</f>
        <v>6</v>
      </c>
      <c r="AF42" s="130"/>
      <c r="AG42" s="181"/>
      <c r="AH42" s="63"/>
    </row>
    <row r="43" spans="1:34" x14ac:dyDescent="0.2">
      <c r="A43" s="48"/>
      <c r="B43" s="84" t="s">
        <v>14</v>
      </c>
      <c r="C43" s="285" t="str">
        <f>VLOOKUP(3,Gruppen!$A$30:$L$33,2,FALSE)</f>
        <v>Costa Rica</v>
      </c>
      <c r="D43" s="285"/>
      <c r="E43" s="103">
        <f>VLOOKUP(3,Gruppen!$A$30:$L$33,3,FALSE)</f>
        <v>3</v>
      </c>
      <c r="F43" s="103">
        <f>VLOOKUP(3,Gruppen!$A$30:$L$33,4,FALSE)</f>
        <v>1</v>
      </c>
      <c r="G43" s="103">
        <f>VLOOKUP(3,Gruppen!$A$30:$L$33,5,FALSE)</f>
        <v>0</v>
      </c>
      <c r="H43" s="103" t="str">
        <f>VLOOKUP(3,Gruppen!$A$30:$L$33,6,FALSE)</f>
        <v xml:space="preserve">2         </v>
      </c>
      <c r="I43" s="80"/>
      <c r="J43" s="79">
        <f>VLOOKUP(3,Gruppen!$A$30:$L$33,7,FALSE)</f>
        <v>3</v>
      </c>
      <c r="K43" s="80" t="s">
        <v>12</v>
      </c>
      <c r="L43" s="102">
        <f>VLOOKUP(3,Gruppen!$A$30:$L$33,9,FALSE)</f>
        <v>4</v>
      </c>
      <c r="M43" s="81">
        <f>VLOOKUP(3,Gruppen!$A$30:$L$33,10,FALSE)</f>
        <v>-1</v>
      </c>
      <c r="N43" s="81">
        <f>VLOOKUP(3,Gruppen!$A$30:$L$33,11,FALSE)</f>
        <v>3</v>
      </c>
      <c r="O43" s="82"/>
      <c r="P43" s="105"/>
      <c r="Q43" s="51"/>
      <c r="R43" s="51"/>
      <c r="S43" s="133" t="s">
        <v>14</v>
      </c>
      <c r="T43" s="268" t="str">
        <f>VLOOKUP(3,Gruppen!$A$36:$L$39,2,FALSE)</f>
        <v>Mexiko</v>
      </c>
      <c r="U43" s="268"/>
      <c r="V43" s="81">
        <f>VLOOKUP(3,Gruppen!$A$36:$L$39,3,FALSE)</f>
        <v>3</v>
      </c>
      <c r="W43" s="127">
        <f>VLOOKUP(3,Gruppen!$A$36:$L$39,4,FALSE)</f>
        <v>1</v>
      </c>
      <c r="X43" s="127">
        <f>VLOOKUP(3,Gruppen!$A$36:$L$39,5,FALSE)</f>
        <v>0</v>
      </c>
      <c r="Y43" s="127" t="str">
        <f>VLOOKUP(3,Gruppen!$A$36:$L$39,6,FALSE)</f>
        <v xml:space="preserve">2         </v>
      </c>
      <c r="Z43" s="128"/>
      <c r="AA43" s="129">
        <f>VLOOKUP(3,Gruppen!$A$36:$L$39,7,FALSE)</f>
        <v>1</v>
      </c>
      <c r="AB43" s="130" t="s">
        <v>12</v>
      </c>
      <c r="AC43" s="131">
        <f>VLOOKUP(3,Gruppen!$A$36:$L$39,9,FALSE)</f>
        <v>2</v>
      </c>
      <c r="AD43" s="127">
        <f>VLOOKUP(3,Gruppen!$A$36:$L$39,10,FALSE)</f>
        <v>-1</v>
      </c>
      <c r="AE43" s="127">
        <f>VLOOKUP(3,Gruppen!$A$36:$L$39,11,FALSE)</f>
        <v>3</v>
      </c>
      <c r="AF43" s="130"/>
      <c r="AG43" s="181"/>
      <c r="AH43" s="63"/>
    </row>
    <row r="44" spans="1:34" ht="16" thickBot="1" x14ac:dyDescent="0.25">
      <c r="A44" s="48"/>
      <c r="B44" s="86" t="s">
        <v>17</v>
      </c>
      <c r="C44" s="280" t="str">
        <f>VLOOKUP(4,Gruppen!$A$30:$L$33,2,FALSE)</f>
        <v>Serbien</v>
      </c>
      <c r="D44" s="280"/>
      <c r="E44" s="106">
        <f>VLOOKUP(4,Gruppen!$A$30:$L$33,3,FALSE)</f>
        <v>3</v>
      </c>
      <c r="F44" s="106">
        <f>VLOOKUP(4,Gruppen!$A$30:$L$33,4,FALSE)</f>
        <v>0</v>
      </c>
      <c r="G44" s="106">
        <f>VLOOKUP(4,Gruppen!$A$30:$L$33,5,FALSE)</f>
        <v>1</v>
      </c>
      <c r="H44" s="106" t="str">
        <f>VLOOKUP(4,Gruppen!$A$30:$L$33,6,FALSE)</f>
        <v xml:space="preserve">2         </v>
      </c>
      <c r="I44" s="90"/>
      <c r="J44" s="89">
        <f>VLOOKUP(4,Gruppen!$A$30:$L$33,7,FALSE)</f>
        <v>1</v>
      </c>
      <c r="K44" s="90" t="s">
        <v>12</v>
      </c>
      <c r="L44" s="87">
        <f>VLOOKUP(4,Gruppen!$A$30:$L$33,9,FALSE)</f>
        <v>4</v>
      </c>
      <c r="M44" s="91">
        <f>VLOOKUP(4,Gruppen!$A$30:$L$33,10,FALSE)</f>
        <v>-3</v>
      </c>
      <c r="N44" s="91">
        <f>VLOOKUP(4,Gruppen!$A$30:$L$33,11,FALSE)</f>
        <v>1</v>
      </c>
      <c r="O44" s="92"/>
      <c r="P44" s="107"/>
      <c r="Q44" s="51"/>
      <c r="R44" s="51"/>
      <c r="S44" s="135" t="s">
        <v>17</v>
      </c>
      <c r="T44" s="269" t="str">
        <f>VLOOKUP(4,Gruppen!$A$36:$L$39,2,FALSE)</f>
        <v>Südkorea</v>
      </c>
      <c r="U44" s="269"/>
      <c r="V44" s="91">
        <f>VLOOKUP(4,Gruppen!$A$36:$L$39,3,FALSE)</f>
        <v>3</v>
      </c>
      <c r="W44" s="136">
        <f>VLOOKUP(4,Gruppen!$A$36:$L$39,4,FALSE)</f>
        <v>0</v>
      </c>
      <c r="X44" s="136">
        <f>VLOOKUP(4,Gruppen!$A$36:$L$39,5,FALSE)</f>
        <v>0</v>
      </c>
      <c r="Y44" s="136" t="str">
        <f>VLOOKUP(4,Gruppen!$A$36:$L$39,6,FALSE)</f>
        <v xml:space="preserve">3         </v>
      </c>
      <c r="Z44" s="137"/>
      <c r="AA44" s="138">
        <f>VLOOKUP(4,Gruppen!$A$36:$L$39,7,FALSE)</f>
        <v>0</v>
      </c>
      <c r="AB44" s="139" t="s">
        <v>12</v>
      </c>
      <c r="AC44" s="140">
        <f>VLOOKUP(4,Gruppen!$A$36:$L$39,9,FALSE)</f>
        <v>5</v>
      </c>
      <c r="AD44" s="136">
        <f>VLOOKUP(4,Gruppen!$A$36:$L$39,10,FALSE)</f>
        <v>-5</v>
      </c>
      <c r="AE44" s="136">
        <f>VLOOKUP(4,Gruppen!$A$36:$L$39,11,FALSE)</f>
        <v>0</v>
      </c>
      <c r="AF44" s="139"/>
      <c r="AG44" s="182"/>
      <c r="AH44" s="63"/>
    </row>
    <row r="45" spans="1:34" ht="16" thickBot="1" x14ac:dyDescent="0.25">
      <c r="A45" s="48"/>
      <c r="B45" s="157"/>
      <c r="C45" s="157"/>
      <c r="D45" s="157"/>
      <c r="E45" s="157"/>
      <c r="F45" s="157"/>
      <c r="G45" s="157"/>
      <c r="H45" s="157"/>
      <c r="I45" s="157"/>
      <c r="J45" s="157"/>
      <c r="K45" s="157"/>
      <c r="L45" s="157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</row>
    <row r="46" spans="1:34" ht="30" customHeight="1" x14ac:dyDescent="0.2">
      <c r="A46" s="48"/>
      <c r="B46" s="266" t="s">
        <v>39</v>
      </c>
      <c r="C46" s="266"/>
      <c r="D46" s="266"/>
      <c r="E46" s="266"/>
      <c r="F46" s="266"/>
      <c r="G46" s="266"/>
      <c r="H46" s="266"/>
      <c r="I46" s="266"/>
      <c r="J46" s="266"/>
      <c r="K46" s="266"/>
      <c r="L46" s="266"/>
      <c r="M46" s="266"/>
      <c r="N46" s="266"/>
      <c r="O46" s="266"/>
      <c r="P46" s="266"/>
      <c r="Q46" s="51"/>
      <c r="R46" s="51"/>
      <c r="S46" s="266" t="s">
        <v>40</v>
      </c>
      <c r="T46" s="266"/>
      <c r="U46" s="266"/>
      <c r="V46" s="266"/>
      <c r="W46" s="266"/>
      <c r="X46" s="266"/>
      <c r="Y46" s="266"/>
      <c r="Z46" s="266"/>
      <c r="AA46" s="266"/>
      <c r="AB46" s="266"/>
      <c r="AC46" s="266"/>
      <c r="AD46" s="266"/>
      <c r="AE46" s="266"/>
      <c r="AF46" s="266"/>
      <c r="AG46" s="266"/>
      <c r="AH46" s="63"/>
    </row>
    <row r="47" spans="1:34" x14ac:dyDescent="0.2">
      <c r="A47" s="50"/>
      <c r="B47" s="158" t="s">
        <v>21</v>
      </c>
      <c r="C47" s="258" t="s">
        <v>22</v>
      </c>
      <c r="D47" s="161" t="s">
        <v>23</v>
      </c>
      <c r="E47" s="161"/>
      <c r="F47" s="282" t="s">
        <v>24</v>
      </c>
      <c r="G47" s="282"/>
      <c r="H47" s="282"/>
      <c r="I47" s="282"/>
      <c r="J47" s="282"/>
      <c r="K47" s="282"/>
      <c r="L47" s="282"/>
      <c r="M47" s="170"/>
      <c r="N47" s="175" t="s">
        <v>7</v>
      </c>
      <c r="O47" s="170"/>
      <c r="P47" s="191"/>
      <c r="Q47" s="51"/>
      <c r="R47" s="51"/>
      <c r="S47" s="174" t="s">
        <v>21</v>
      </c>
      <c r="T47" s="256" t="s">
        <v>22</v>
      </c>
      <c r="U47" s="175" t="s">
        <v>23</v>
      </c>
      <c r="V47" s="170"/>
      <c r="W47" s="283" t="s">
        <v>24</v>
      </c>
      <c r="X47" s="283"/>
      <c r="Y47" s="283"/>
      <c r="Z47" s="283"/>
      <c r="AA47" s="283"/>
      <c r="AB47" s="283"/>
      <c r="AC47" s="283"/>
      <c r="AD47" s="58"/>
      <c r="AE47" s="177" t="s">
        <v>7</v>
      </c>
      <c r="AF47" s="58"/>
      <c r="AG47" s="59"/>
      <c r="AH47" s="63"/>
    </row>
    <row r="48" spans="1:34" x14ac:dyDescent="0.2">
      <c r="A48" s="48"/>
      <c r="B48" s="189">
        <v>9</v>
      </c>
      <c r="C48" s="163" t="s">
        <v>176</v>
      </c>
      <c r="D48" s="164">
        <v>0.58333333333333337</v>
      </c>
      <c r="E48" s="190"/>
      <c r="F48" s="288" t="s">
        <v>157</v>
      </c>
      <c r="G48" s="288"/>
      <c r="H48" s="288"/>
      <c r="I48" s="166" t="s">
        <v>12</v>
      </c>
      <c r="J48" s="289" t="s">
        <v>158</v>
      </c>
      <c r="K48" s="289"/>
      <c r="L48" s="289"/>
      <c r="M48" s="185">
        <v>1</v>
      </c>
      <c r="N48" s="172" t="s">
        <v>12</v>
      </c>
      <c r="O48" s="185">
        <v>0</v>
      </c>
      <c r="P48" s="171"/>
      <c r="Q48" s="51"/>
      <c r="R48" s="51"/>
      <c r="S48" s="176">
        <v>11</v>
      </c>
      <c r="T48" s="112" t="s">
        <v>176</v>
      </c>
      <c r="U48" s="113">
        <v>0.70833333333333337</v>
      </c>
      <c r="V48" s="114"/>
      <c r="W48" s="272" t="s">
        <v>27</v>
      </c>
      <c r="X48" s="272"/>
      <c r="Y48" s="272"/>
      <c r="Z48" s="115" t="s">
        <v>12</v>
      </c>
      <c r="AA48" s="273" t="s">
        <v>159</v>
      </c>
      <c r="AB48" s="273"/>
      <c r="AC48" s="273"/>
      <c r="AD48" s="185">
        <v>1</v>
      </c>
      <c r="AE48" s="115" t="s">
        <v>12</v>
      </c>
      <c r="AF48" s="185">
        <v>0</v>
      </c>
      <c r="AG48" s="59"/>
      <c r="AH48" s="63"/>
    </row>
    <row r="49" spans="1:34" x14ac:dyDescent="0.2">
      <c r="A49" s="48"/>
      <c r="B49" s="189">
        <v>10</v>
      </c>
      <c r="C49" s="163" t="s">
        <v>176</v>
      </c>
      <c r="D49" s="164">
        <v>0.83333333333333337</v>
      </c>
      <c r="E49" s="165"/>
      <c r="F49" s="288" t="s">
        <v>156</v>
      </c>
      <c r="G49" s="288"/>
      <c r="H49" s="288"/>
      <c r="I49" s="166" t="s">
        <v>12</v>
      </c>
      <c r="J49" s="289" t="s">
        <v>15</v>
      </c>
      <c r="K49" s="289"/>
      <c r="L49" s="289"/>
      <c r="M49" s="185">
        <v>2</v>
      </c>
      <c r="N49" s="172" t="s">
        <v>12</v>
      </c>
      <c r="O49" s="185">
        <v>1</v>
      </c>
      <c r="P49" s="171"/>
      <c r="Q49" s="51"/>
      <c r="R49" s="51"/>
      <c r="S49" s="176">
        <v>12</v>
      </c>
      <c r="T49" s="112" t="s">
        <v>179</v>
      </c>
      <c r="U49" s="113">
        <v>0.58333333333333337</v>
      </c>
      <c r="V49" s="114"/>
      <c r="W49" s="272" t="s">
        <v>37</v>
      </c>
      <c r="X49" s="272"/>
      <c r="Y49" s="272"/>
      <c r="Z49" s="115" t="s">
        <v>12</v>
      </c>
      <c r="AA49" s="273" t="s">
        <v>160</v>
      </c>
      <c r="AB49" s="273"/>
      <c r="AC49" s="273"/>
      <c r="AD49" s="185">
        <v>2</v>
      </c>
      <c r="AE49" s="115" t="s">
        <v>12</v>
      </c>
      <c r="AF49" s="185">
        <v>0</v>
      </c>
      <c r="AG49" s="59"/>
      <c r="AH49" s="63"/>
    </row>
    <row r="50" spans="1:34" x14ac:dyDescent="0.2">
      <c r="A50" s="48"/>
      <c r="B50" s="189">
        <v>25</v>
      </c>
      <c r="C50" s="163" t="s">
        <v>177</v>
      </c>
      <c r="D50" s="164">
        <v>0.58333333333333337</v>
      </c>
      <c r="E50" s="165"/>
      <c r="F50" s="288" t="s">
        <v>156</v>
      </c>
      <c r="G50" s="288"/>
      <c r="H50" s="288"/>
      <c r="I50" s="166" t="s">
        <v>12</v>
      </c>
      <c r="J50" s="289" t="s">
        <v>157</v>
      </c>
      <c r="K50" s="289"/>
      <c r="L50" s="289"/>
      <c r="M50" s="187">
        <v>2</v>
      </c>
      <c r="N50" s="172" t="s">
        <v>12</v>
      </c>
      <c r="O50" s="187">
        <v>1</v>
      </c>
      <c r="P50" s="171"/>
      <c r="Q50" s="51"/>
      <c r="R50" s="51"/>
      <c r="S50" s="176">
        <v>27</v>
      </c>
      <c r="T50" s="112" t="s">
        <v>180</v>
      </c>
      <c r="U50" s="113">
        <v>0.70833333333333337</v>
      </c>
      <c r="V50" s="114"/>
      <c r="W50" s="272" t="s">
        <v>160</v>
      </c>
      <c r="X50" s="272"/>
      <c r="Y50" s="272"/>
      <c r="Z50" s="115" t="s">
        <v>12</v>
      </c>
      <c r="AA50" s="273" t="s">
        <v>159</v>
      </c>
      <c r="AB50" s="273"/>
      <c r="AC50" s="273"/>
      <c r="AD50" s="187">
        <v>0</v>
      </c>
      <c r="AE50" s="115" t="s">
        <v>12</v>
      </c>
      <c r="AF50" s="187">
        <v>1</v>
      </c>
      <c r="AG50" s="59"/>
      <c r="AH50" s="63"/>
    </row>
    <row r="51" spans="1:34" x14ac:dyDescent="0.2">
      <c r="A51" s="48"/>
      <c r="B51" s="189">
        <v>26</v>
      </c>
      <c r="C51" s="163" t="s">
        <v>177</v>
      </c>
      <c r="D51" s="164">
        <v>0.83333333333333337</v>
      </c>
      <c r="E51" s="165"/>
      <c r="F51" s="288" t="s">
        <v>158</v>
      </c>
      <c r="G51" s="288"/>
      <c r="H51" s="288"/>
      <c r="I51" s="166" t="s">
        <v>12</v>
      </c>
      <c r="J51" s="289" t="s">
        <v>15</v>
      </c>
      <c r="K51" s="289"/>
      <c r="L51" s="289"/>
      <c r="M51" s="185">
        <v>1</v>
      </c>
      <c r="N51" s="172" t="s">
        <v>12</v>
      </c>
      <c r="O51" s="185">
        <v>1</v>
      </c>
      <c r="P51" s="171"/>
      <c r="Q51" s="51"/>
      <c r="R51" s="51"/>
      <c r="S51" s="176">
        <v>28</v>
      </c>
      <c r="T51" s="112" t="s">
        <v>180</v>
      </c>
      <c r="U51" s="113">
        <v>0.83333333333333337</v>
      </c>
      <c r="V51" s="114"/>
      <c r="W51" s="272" t="s">
        <v>27</v>
      </c>
      <c r="X51" s="272"/>
      <c r="Y51" s="272"/>
      <c r="Z51" s="115" t="s">
        <v>12</v>
      </c>
      <c r="AA51" s="273" t="s">
        <v>37</v>
      </c>
      <c r="AB51" s="273"/>
      <c r="AC51" s="273"/>
      <c r="AD51" s="185">
        <v>1</v>
      </c>
      <c r="AE51" s="115" t="s">
        <v>12</v>
      </c>
      <c r="AF51" s="185">
        <v>0</v>
      </c>
      <c r="AG51" s="59"/>
      <c r="AH51" s="63"/>
    </row>
    <row r="52" spans="1:34" ht="15" customHeight="1" x14ac:dyDescent="0.2">
      <c r="A52" s="48"/>
      <c r="B52" s="189">
        <v>41</v>
      </c>
      <c r="C52" s="163" t="s">
        <v>178</v>
      </c>
      <c r="D52" s="164">
        <v>0.83333333333333337</v>
      </c>
      <c r="E52" s="165"/>
      <c r="F52" s="288" t="s">
        <v>158</v>
      </c>
      <c r="G52" s="288"/>
      <c r="H52" s="288"/>
      <c r="I52" s="166" t="s">
        <v>12</v>
      </c>
      <c r="J52" s="289" t="s">
        <v>156</v>
      </c>
      <c r="K52" s="289"/>
      <c r="L52" s="289"/>
      <c r="M52" s="188">
        <v>0</v>
      </c>
      <c r="N52" s="172" t="s">
        <v>12</v>
      </c>
      <c r="O52" s="188">
        <v>2</v>
      </c>
      <c r="P52" s="171"/>
      <c r="Q52" s="51"/>
      <c r="R52" s="51"/>
      <c r="S52" s="176">
        <v>43</v>
      </c>
      <c r="T52" s="112" t="s">
        <v>178</v>
      </c>
      <c r="U52" s="113">
        <v>0.66666666666666663</v>
      </c>
      <c r="V52" s="114"/>
      <c r="W52" s="272" t="s">
        <v>160</v>
      </c>
      <c r="X52" s="272"/>
      <c r="Y52" s="272"/>
      <c r="Z52" s="115" t="s">
        <v>12</v>
      </c>
      <c r="AA52" s="273" t="s">
        <v>27</v>
      </c>
      <c r="AB52" s="273"/>
      <c r="AC52" s="273"/>
      <c r="AD52" s="188">
        <v>0</v>
      </c>
      <c r="AE52" s="115" t="s">
        <v>12</v>
      </c>
      <c r="AF52" s="188">
        <v>2</v>
      </c>
      <c r="AG52" s="59"/>
      <c r="AH52" s="63"/>
    </row>
    <row r="53" spans="1:34" x14ac:dyDescent="0.2">
      <c r="A53" s="48"/>
      <c r="B53" s="189">
        <v>42</v>
      </c>
      <c r="C53" s="163" t="s">
        <v>178</v>
      </c>
      <c r="D53" s="164">
        <v>0.83333333333333337</v>
      </c>
      <c r="E53" s="165"/>
      <c r="F53" s="288" t="s">
        <v>15</v>
      </c>
      <c r="G53" s="288"/>
      <c r="H53" s="288"/>
      <c r="I53" s="166" t="s">
        <v>12</v>
      </c>
      <c r="J53" s="289" t="s">
        <v>157</v>
      </c>
      <c r="K53" s="289"/>
      <c r="L53" s="289"/>
      <c r="M53" s="185">
        <v>2</v>
      </c>
      <c r="N53" s="172" t="s">
        <v>12</v>
      </c>
      <c r="O53" s="185">
        <v>1</v>
      </c>
      <c r="P53" s="171"/>
      <c r="Q53" s="51"/>
      <c r="R53" s="51"/>
      <c r="S53" s="176">
        <v>44</v>
      </c>
      <c r="T53" s="112" t="s">
        <v>178</v>
      </c>
      <c r="U53" s="113">
        <v>0.66666666666666663</v>
      </c>
      <c r="V53" s="114"/>
      <c r="W53" s="272" t="s">
        <v>159</v>
      </c>
      <c r="X53" s="272"/>
      <c r="Y53" s="272"/>
      <c r="Z53" s="115" t="s">
        <v>12</v>
      </c>
      <c r="AA53" s="273" t="s">
        <v>37</v>
      </c>
      <c r="AB53" s="273"/>
      <c r="AC53" s="273"/>
      <c r="AD53" s="185">
        <v>0</v>
      </c>
      <c r="AE53" s="115" t="s">
        <v>12</v>
      </c>
      <c r="AF53" s="185">
        <v>1</v>
      </c>
      <c r="AG53" s="59"/>
      <c r="AH53" s="63"/>
    </row>
    <row r="54" spans="1:34" ht="16" thickBot="1" x14ac:dyDescent="0.25">
      <c r="A54" s="48"/>
      <c r="B54" s="167"/>
      <c r="C54" s="169"/>
      <c r="D54" s="169"/>
      <c r="E54" s="168"/>
      <c r="F54" s="168"/>
      <c r="G54" s="168"/>
      <c r="H54" s="168"/>
      <c r="I54" s="168"/>
      <c r="J54" s="168"/>
      <c r="K54" s="168"/>
      <c r="L54" s="168"/>
      <c r="M54" s="94"/>
      <c r="N54" s="94"/>
      <c r="O54" s="94"/>
      <c r="P54" s="173"/>
      <c r="Q54" s="51"/>
      <c r="R54" s="51"/>
      <c r="S54" s="116"/>
      <c r="T54" s="94"/>
      <c r="U54" s="94"/>
      <c r="V54" s="94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118"/>
      <c r="AH54" s="63"/>
    </row>
    <row r="55" spans="1:34" ht="16" thickBot="1" x14ac:dyDescent="0.25">
      <c r="A55" s="48"/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</row>
    <row r="56" spans="1:34" ht="21" customHeight="1" x14ac:dyDescent="0.2">
      <c r="A56" s="48"/>
      <c r="B56" s="266" t="s">
        <v>168</v>
      </c>
      <c r="C56" s="266"/>
      <c r="D56" s="266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6"/>
      <c r="Q56" s="51"/>
      <c r="R56" s="51"/>
      <c r="S56" s="266" t="s">
        <v>229</v>
      </c>
      <c r="T56" s="266"/>
      <c r="U56" s="266"/>
      <c r="V56" s="266"/>
      <c r="W56" s="266"/>
      <c r="X56" s="266"/>
      <c r="Y56" s="266"/>
      <c r="Z56" s="266"/>
      <c r="AA56" s="266"/>
      <c r="AB56" s="266"/>
      <c r="AC56" s="266"/>
      <c r="AD56" s="266"/>
      <c r="AE56" s="266"/>
      <c r="AF56" s="266"/>
      <c r="AG56" s="266"/>
      <c r="AH56" s="63"/>
    </row>
    <row r="57" spans="1:34" x14ac:dyDescent="0.2">
      <c r="A57" s="48"/>
      <c r="B57" s="95"/>
      <c r="C57" s="97"/>
      <c r="D57" s="97"/>
      <c r="E57" s="97" t="s">
        <v>3</v>
      </c>
      <c r="F57" s="97" t="s">
        <v>4</v>
      </c>
      <c r="G57" s="97" t="s">
        <v>5</v>
      </c>
      <c r="H57" s="98" t="s">
        <v>6</v>
      </c>
      <c r="I57" s="97"/>
      <c r="J57" s="97"/>
      <c r="K57" s="97" t="s">
        <v>7</v>
      </c>
      <c r="L57" s="97"/>
      <c r="M57" s="99" t="s">
        <v>8</v>
      </c>
      <c r="N57" s="99" t="s">
        <v>9</v>
      </c>
      <c r="O57" s="99"/>
      <c r="P57" s="101"/>
      <c r="Q57" s="51"/>
      <c r="R57" s="51"/>
      <c r="S57" s="121"/>
      <c r="T57" s="183"/>
      <c r="U57" s="183"/>
      <c r="V57" s="99" t="s">
        <v>3</v>
      </c>
      <c r="W57" s="122" t="s">
        <v>4</v>
      </c>
      <c r="X57" s="122" t="s">
        <v>5</v>
      </c>
      <c r="Y57" s="123" t="s">
        <v>6</v>
      </c>
      <c r="Z57" s="122"/>
      <c r="AA57" s="122"/>
      <c r="AB57" s="122" t="s">
        <v>7</v>
      </c>
      <c r="AC57" s="122"/>
      <c r="AD57" s="122" t="s">
        <v>8</v>
      </c>
      <c r="AE57" s="122" t="s">
        <v>9</v>
      </c>
      <c r="AF57" s="122"/>
      <c r="AG57" s="184"/>
      <c r="AH57" s="63"/>
    </row>
    <row r="58" spans="1:34" x14ac:dyDescent="0.2">
      <c r="A58" s="48"/>
      <c r="B58" s="76" t="s">
        <v>10</v>
      </c>
      <c r="C58" s="284" t="str">
        <f>VLOOKUP(1,Gruppen!$A$42:$L$45,2,FALSE)</f>
        <v>Belgien</v>
      </c>
      <c r="D58" s="284"/>
      <c r="E58" s="103">
        <f>VLOOKUP(1,Gruppen!$A$42:$L$45,3,FALSE)</f>
        <v>3</v>
      </c>
      <c r="F58" s="103">
        <f>VLOOKUP(1,Gruppen!$A$42:$L$45,4,FALSE)</f>
        <v>2</v>
      </c>
      <c r="G58" s="103">
        <f>VLOOKUP(1,Gruppen!$A$42:$L$45,5,FALSE)</f>
        <v>1</v>
      </c>
      <c r="H58" s="103" t="str">
        <f>VLOOKUP(1,Gruppen!$A$42:$L$45,6,FALSE)</f>
        <v xml:space="preserve">0         </v>
      </c>
      <c r="I58" s="80"/>
      <c r="J58" s="79">
        <f>VLOOKUP(1,Gruppen!$A$42:$L$45,7,FALSE)</f>
        <v>6</v>
      </c>
      <c r="K58" s="80" t="s">
        <v>12</v>
      </c>
      <c r="L58" s="156">
        <f>VLOOKUP(1,Gruppen!$A$42:$L$45,9,FALSE)</f>
        <v>1</v>
      </c>
      <c r="M58" s="81">
        <f>VLOOKUP(1,Gruppen!$A$42:$L$45,10,FALSE)</f>
        <v>5</v>
      </c>
      <c r="N58" s="81">
        <f>VLOOKUP(1,Gruppen!$A$42:$L$45,11,FALSE)</f>
        <v>7</v>
      </c>
      <c r="O58" s="82"/>
      <c r="P58" s="104"/>
      <c r="Q58" s="51"/>
      <c r="R58" s="51"/>
      <c r="S58" s="126" t="s">
        <v>10</v>
      </c>
      <c r="T58" s="267" t="str">
        <f>VLOOKUP(1,Gruppen!$A$48:$L$51,2,FALSE)</f>
        <v>Kolumbien</v>
      </c>
      <c r="U58" s="267"/>
      <c r="V58" s="81">
        <f>VLOOKUP(1,Gruppen!$A$48:$L$51,3,FALSE)</f>
        <v>3</v>
      </c>
      <c r="W58" s="127">
        <f>VLOOKUP(1,Gruppen!$A$48:$L$51,4,FALSE)</f>
        <v>3</v>
      </c>
      <c r="X58" s="127">
        <f>VLOOKUP(1,Gruppen!$A$48:$L$51,5,FALSE)</f>
        <v>0</v>
      </c>
      <c r="Y58" s="127" t="str">
        <f>VLOOKUP(1,Gruppen!$A$48:$L$51,6,FALSE)</f>
        <v xml:space="preserve">0         </v>
      </c>
      <c r="Z58" s="128"/>
      <c r="AA58" s="129">
        <f>VLOOKUP(1,Gruppen!$A$48:$L$51,7,FALSE)</f>
        <v>7</v>
      </c>
      <c r="AB58" s="130" t="s">
        <v>12</v>
      </c>
      <c r="AC58" s="131">
        <f>VLOOKUP(1,Gruppen!$A$48:$L$51,9,FALSE)</f>
        <v>3</v>
      </c>
      <c r="AD58" s="127">
        <f>VLOOKUP(1,Gruppen!$A$48:$L$51,10,FALSE)</f>
        <v>4</v>
      </c>
      <c r="AE58" s="127">
        <f>VLOOKUP(1,Gruppen!$A$48:$L$51,11,FALSE)</f>
        <v>9</v>
      </c>
      <c r="AF58" s="130"/>
      <c r="AG58" s="180"/>
      <c r="AH58" s="63"/>
    </row>
    <row r="59" spans="1:34" x14ac:dyDescent="0.2">
      <c r="A59" s="48"/>
      <c r="B59" s="84" t="s">
        <v>13</v>
      </c>
      <c r="C59" s="285" t="str">
        <f>VLOOKUP(2,Gruppen!$A$42:$L$45,2,FALSE)</f>
        <v>England</v>
      </c>
      <c r="D59" s="285"/>
      <c r="E59" s="103">
        <f>VLOOKUP(2,Gruppen!$A$42:$L$45,3,FALSE)</f>
        <v>3</v>
      </c>
      <c r="F59" s="103">
        <f>VLOOKUP(2,Gruppen!$A$42:$L$45,4,FALSE)</f>
        <v>2</v>
      </c>
      <c r="G59" s="103">
        <f>VLOOKUP(2,Gruppen!$A$42:$L$45,5,FALSE)</f>
        <v>1</v>
      </c>
      <c r="H59" s="103" t="str">
        <f>VLOOKUP(2,Gruppen!$A$42:$L$45,6,FALSE)</f>
        <v xml:space="preserve">0         </v>
      </c>
      <c r="I59" s="80"/>
      <c r="J59" s="79">
        <f>VLOOKUP(2,Gruppen!$A$42:$L$45,7,FALSE)</f>
        <v>4</v>
      </c>
      <c r="K59" s="80" t="s">
        <v>12</v>
      </c>
      <c r="L59" s="156">
        <f>VLOOKUP(2,Gruppen!$A$42:$L$45,9,FALSE)</f>
        <v>2</v>
      </c>
      <c r="M59" s="81">
        <f>VLOOKUP(2,Gruppen!$A$42:$L$45,10,FALSE)</f>
        <v>2</v>
      </c>
      <c r="N59" s="81">
        <f>VLOOKUP(2,Gruppen!$A$42:$L$45,11,FALSE)</f>
        <v>7</v>
      </c>
      <c r="O59" s="82"/>
      <c r="P59" s="105"/>
      <c r="Q59" s="51"/>
      <c r="R59" s="51"/>
      <c r="S59" s="133" t="s">
        <v>13</v>
      </c>
      <c r="T59" s="268" t="str">
        <f>VLOOKUP(2,Gruppen!$A$48:$L$51,2,FALSE)</f>
        <v>Senegal</v>
      </c>
      <c r="U59" s="268"/>
      <c r="V59" s="81">
        <f>VLOOKUP(2,Gruppen!$A$48:$L$51,3,FALSE)</f>
        <v>3</v>
      </c>
      <c r="W59" s="127">
        <f>VLOOKUP(2,Gruppen!$A$48:$L$51,4,FALSE)</f>
        <v>1</v>
      </c>
      <c r="X59" s="127">
        <f>VLOOKUP(2,Gruppen!$A$48:$L$51,5,FALSE)</f>
        <v>1</v>
      </c>
      <c r="Y59" s="127" t="str">
        <f>VLOOKUP(2,Gruppen!$A$48:$L$51,6,FALSE)</f>
        <v xml:space="preserve">1         </v>
      </c>
      <c r="Z59" s="128"/>
      <c r="AA59" s="129">
        <f>VLOOKUP(2,Gruppen!$A$48:$L$51,7,FALSE)</f>
        <v>4</v>
      </c>
      <c r="AB59" s="130" t="s">
        <v>12</v>
      </c>
      <c r="AC59" s="131">
        <f>VLOOKUP(2,Gruppen!$A$48:$L$51,9,FALSE)</f>
        <v>3</v>
      </c>
      <c r="AD59" s="127">
        <f>VLOOKUP(2,Gruppen!$A$48:$L$51,10,FALSE)</f>
        <v>1</v>
      </c>
      <c r="AE59" s="127">
        <f>VLOOKUP(2,Gruppen!$A$48:$L$51,11,FALSE)</f>
        <v>4</v>
      </c>
      <c r="AF59" s="130"/>
      <c r="AG59" s="181"/>
      <c r="AH59" s="63"/>
    </row>
    <row r="60" spans="1:34" x14ac:dyDescent="0.2">
      <c r="A60" s="48"/>
      <c r="B60" s="84" t="s">
        <v>14</v>
      </c>
      <c r="C60" s="285" t="str">
        <f>VLOOKUP(3,Gruppen!$A$42:$L$45,2,FALSE)</f>
        <v>Tunesien</v>
      </c>
      <c r="D60" s="285"/>
      <c r="E60" s="103">
        <f>VLOOKUP(3,Gruppen!$A$42:$L$45,3,FALSE)</f>
        <v>3</v>
      </c>
      <c r="F60" s="103">
        <f>VLOOKUP(3,Gruppen!$A$42:$L$45,4,FALSE)</f>
        <v>0</v>
      </c>
      <c r="G60" s="103">
        <f>VLOOKUP(3,Gruppen!$A$42:$L$45,5,FALSE)</f>
        <v>1</v>
      </c>
      <c r="H60" s="103" t="str">
        <f>VLOOKUP(3,Gruppen!$A$42:$L$45,6,FALSE)</f>
        <v xml:space="preserve">2         </v>
      </c>
      <c r="I60" s="80"/>
      <c r="J60" s="79">
        <f>VLOOKUP(3,Gruppen!$A$42:$L$45,7,FALSE)</f>
        <v>1</v>
      </c>
      <c r="K60" s="80" t="s">
        <v>12</v>
      </c>
      <c r="L60" s="156">
        <f>VLOOKUP(3,Gruppen!$A$42:$L$45,9,FALSE)</f>
        <v>4</v>
      </c>
      <c r="M60" s="81">
        <f>VLOOKUP(3,Gruppen!$A$42:$L$45,10,FALSE)</f>
        <v>-3</v>
      </c>
      <c r="N60" s="81">
        <f>VLOOKUP(3,Gruppen!$A$42:$L$45,11,FALSE)</f>
        <v>1</v>
      </c>
      <c r="O60" s="82"/>
      <c r="P60" s="105"/>
      <c r="Q60" s="51"/>
      <c r="R60" s="51"/>
      <c r="S60" s="133" t="s">
        <v>14</v>
      </c>
      <c r="T60" s="268" t="str">
        <f>VLOOKUP(3,Gruppen!$A$48:$L$51,2,FALSE)</f>
        <v>Polen</v>
      </c>
      <c r="U60" s="268"/>
      <c r="V60" s="81">
        <f>VLOOKUP(3,Gruppen!$A$48:$L$51,3,FALSE)</f>
        <v>3</v>
      </c>
      <c r="W60" s="127">
        <f>VLOOKUP(3,Gruppen!$A$48:$L$51,4,FALSE)</f>
        <v>1</v>
      </c>
      <c r="X60" s="127">
        <f>VLOOKUP(3,Gruppen!$A$48:$L$51,5,FALSE)</f>
        <v>1</v>
      </c>
      <c r="Y60" s="127" t="str">
        <f>VLOOKUP(3,Gruppen!$A$48:$L$51,6,FALSE)</f>
        <v xml:space="preserve">1         </v>
      </c>
      <c r="Z60" s="128"/>
      <c r="AA60" s="129">
        <f>VLOOKUP(3,Gruppen!$A$48:$L$51,7,FALSE)</f>
        <v>3</v>
      </c>
      <c r="AB60" s="130" t="s">
        <v>12</v>
      </c>
      <c r="AC60" s="131">
        <f>VLOOKUP(3,Gruppen!$A$48:$L$51,9,FALSE)</f>
        <v>3</v>
      </c>
      <c r="AD60" s="127">
        <f>VLOOKUP(3,Gruppen!$A$48:$L$51,10,FALSE)</f>
        <v>0</v>
      </c>
      <c r="AE60" s="127">
        <f>VLOOKUP(3,Gruppen!$A$48:$L$51,11,FALSE)</f>
        <v>4</v>
      </c>
      <c r="AF60" s="130"/>
      <c r="AG60" s="181"/>
      <c r="AH60" s="63"/>
    </row>
    <row r="61" spans="1:34" ht="16" thickBot="1" x14ac:dyDescent="0.25">
      <c r="A61" s="48"/>
      <c r="B61" s="86" t="s">
        <v>17</v>
      </c>
      <c r="C61" s="280" t="str">
        <f>VLOOKUP(4,Gruppen!$A$42:$L$45,2,FALSE)</f>
        <v>Panama</v>
      </c>
      <c r="D61" s="280"/>
      <c r="E61" s="106">
        <f>VLOOKUP(4,Gruppen!$A$42:$L$45,3,FALSE)</f>
        <v>3</v>
      </c>
      <c r="F61" s="106">
        <f>VLOOKUP(4,Gruppen!$A$42:$L$45,4,FALSE)</f>
        <v>0</v>
      </c>
      <c r="G61" s="106">
        <f>VLOOKUP(4,Gruppen!$A$30:$L$33,5,FALSE)</f>
        <v>1</v>
      </c>
      <c r="H61" s="106" t="str">
        <f>VLOOKUP(4,Gruppen!$A$42:$L$45,6,FALSE)</f>
        <v xml:space="preserve">2         </v>
      </c>
      <c r="I61" s="90"/>
      <c r="J61" s="89">
        <f>VLOOKUP(4,Gruppen!$A$42:$L$45,7,FALSE)</f>
        <v>2</v>
      </c>
      <c r="K61" s="90" t="s">
        <v>12</v>
      </c>
      <c r="L61" s="87">
        <f>VLOOKUP(4,Gruppen!$A$42:$L$45,9,FALSE)</f>
        <v>6</v>
      </c>
      <c r="M61" s="91">
        <f>VLOOKUP(4,Gruppen!$A$42:$L$45,10,FALSE)</f>
        <v>-4</v>
      </c>
      <c r="N61" s="91">
        <f>VLOOKUP(4,Gruppen!$A$42:$L$45,11,FALSE)</f>
        <v>1</v>
      </c>
      <c r="O61" s="92"/>
      <c r="P61" s="107"/>
      <c r="Q61" s="51"/>
      <c r="R61" s="51"/>
      <c r="S61" s="135" t="s">
        <v>17</v>
      </c>
      <c r="T61" s="269" t="str">
        <f>VLOOKUP(4,Gruppen!$A$48:$L$51,2,FALSE)</f>
        <v>Japan</v>
      </c>
      <c r="U61" s="269"/>
      <c r="V61" s="91">
        <f>VLOOKUP(4,Gruppen!$A$48:$L$51,3,FALSE)</f>
        <v>3</v>
      </c>
      <c r="W61" s="136">
        <f>VLOOKUP(4,Gruppen!$A$48:$L$51,4,FALSE)</f>
        <v>0</v>
      </c>
      <c r="X61" s="136">
        <f>VLOOKUP(4,Gruppen!$A$48:$L$51,5,FALSE)</f>
        <v>0</v>
      </c>
      <c r="Y61" s="136" t="str">
        <f>VLOOKUP(4,Gruppen!$A$48:$L$51,6,FALSE)</f>
        <v xml:space="preserve">3         </v>
      </c>
      <c r="Z61" s="137"/>
      <c r="AA61" s="138">
        <f>VLOOKUP(4,Gruppen!$A$48:$L$51,7,FALSE)</f>
        <v>1</v>
      </c>
      <c r="AB61" s="139" t="s">
        <v>12</v>
      </c>
      <c r="AC61" s="140">
        <f>VLOOKUP(4,Gruppen!$A$48:$L$51,9,FALSE)</f>
        <v>6</v>
      </c>
      <c r="AD61" s="136">
        <f>VLOOKUP(4,Gruppen!$A$48:$L$51,10,FALSE)</f>
        <v>-5</v>
      </c>
      <c r="AE61" s="136">
        <f>VLOOKUP(4,Gruppen!$A$48:$L$51,11,FALSE)</f>
        <v>0</v>
      </c>
      <c r="AF61" s="139"/>
      <c r="AG61" s="182"/>
      <c r="AH61" s="63"/>
    </row>
    <row r="62" spans="1:34" ht="16" thickBot="1" x14ac:dyDescent="0.25">
      <c r="A62" s="157"/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</row>
    <row r="63" spans="1:34" ht="21" x14ac:dyDescent="0.2">
      <c r="A63" s="48"/>
      <c r="B63" s="266" t="s">
        <v>169</v>
      </c>
      <c r="C63" s="266"/>
      <c r="D63" s="266"/>
      <c r="E63" s="266"/>
      <c r="F63" s="266"/>
      <c r="G63" s="266"/>
      <c r="H63" s="266"/>
      <c r="I63" s="266"/>
      <c r="J63" s="266"/>
      <c r="K63" s="266"/>
      <c r="L63" s="266"/>
      <c r="M63" s="266"/>
      <c r="N63" s="266"/>
      <c r="O63" s="266"/>
      <c r="P63" s="266"/>
      <c r="Q63" s="51"/>
      <c r="R63" s="51"/>
      <c r="S63" s="266" t="s">
        <v>230</v>
      </c>
      <c r="T63" s="266"/>
      <c r="U63" s="266"/>
      <c r="V63" s="266"/>
      <c r="W63" s="266"/>
      <c r="X63" s="266"/>
      <c r="Y63" s="266"/>
      <c r="Z63" s="266"/>
      <c r="AA63" s="266"/>
      <c r="AB63" s="266"/>
      <c r="AC63" s="266"/>
      <c r="AD63" s="266"/>
      <c r="AE63" s="266"/>
      <c r="AF63" s="266"/>
      <c r="AG63" s="266"/>
      <c r="AH63" s="63"/>
    </row>
    <row r="64" spans="1:34" x14ac:dyDescent="0.2">
      <c r="A64" s="50"/>
      <c r="B64" s="158" t="s">
        <v>21</v>
      </c>
      <c r="C64" s="161" t="s">
        <v>22</v>
      </c>
      <c r="D64" s="161" t="s">
        <v>23</v>
      </c>
      <c r="E64" s="161"/>
      <c r="F64" s="282" t="s">
        <v>24</v>
      </c>
      <c r="G64" s="282"/>
      <c r="H64" s="282"/>
      <c r="I64" s="282"/>
      <c r="J64" s="282"/>
      <c r="K64" s="282"/>
      <c r="L64" s="282"/>
      <c r="M64" s="170"/>
      <c r="N64" s="175" t="s">
        <v>7</v>
      </c>
      <c r="O64" s="170"/>
      <c r="P64" s="191"/>
      <c r="Q64" s="51"/>
      <c r="R64" s="51"/>
      <c r="S64" s="174" t="s">
        <v>21</v>
      </c>
      <c r="T64" s="175" t="s">
        <v>22</v>
      </c>
      <c r="U64" s="175" t="s">
        <v>23</v>
      </c>
      <c r="V64" s="170"/>
      <c r="W64" s="283" t="s">
        <v>24</v>
      </c>
      <c r="X64" s="283"/>
      <c r="Y64" s="283"/>
      <c r="Z64" s="283"/>
      <c r="AA64" s="283"/>
      <c r="AB64" s="283"/>
      <c r="AC64" s="283"/>
      <c r="AD64" s="58"/>
      <c r="AE64" s="177" t="s">
        <v>7</v>
      </c>
      <c r="AF64" s="58"/>
      <c r="AG64" s="59"/>
      <c r="AH64" s="63"/>
    </row>
    <row r="65" spans="1:34" x14ac:dyDescent="0.2">
      <c r="A65" s="48"/>
      <c r="B65" s="189">
        <v>13</v>
      </c>
      <c r="C65" s="193" t="s">
        <v>179</v>
      </c>
      <c r="D65" s="194">
        <v>0.70833333333333337</v>
      </c>
      <c r="E65" s="190"/>
      <c r="F65" s="288" t="s">
        <v>35</v>
      </c>
      <c r="G65" s="288"/>
      <c r="H65" s="288"/>
      <c r="I65" s="166" t="s">
        <v>12</v>
      </c>
      <c r="J65" s="289" t="s">
        <v>163</v>
      </c>
      <c r="K65" s="289"/>
      <c r="L65" s="289"/>
      <c r="M65" s="185">
        <v>3</v>
      </c>
      <c r="N65" s="172" t="s">
        <v>12</v>
      </c>
      <c r="O65" s="185">
        <v>0</v>
      </c>
      <c r="P65" s="171"/>
      <c r="Q65" s="51"/>
      <c r="R65" s="51"/>
      <c r="S65" s="176">
        <v>15</v>
      </c>
      <c r="T65" s="195" t="s">
        <v>173</v>
      </c>
      <c r="U65" s="196">
        <v>0.58333333333333337</v>
      </c>
      <c r="V65" s="114"/>
      <c r="W65" s="272" t="s">
        <v>166</v>
      </c>
      <c r="X65" s="272"/>
      <c r="Y65" s="272"/>
      <c r="Z65" s="115" t="s">
        <v>12</v>
      </c>
      <c r="AA65" s="273" t="s">
        <v>167</v>
      </c>
      <c r="AB65" s="273"/>
      <c r="AC65" s="273"/>
      <c r="AD65" s="185">
        <v>3</v>
      </c>
      <c r="AE65" s="115" t="s">
        <v>12</v>
      </c>
      <c r="AF65" s="185">
        <v>1</v>
      </c>
      <c r="AG65" s="59"/>
      <c r="AH65" s="63"/>
    </row>
    <row r="66" spans="1:34" x14ac:dyDescent="0.2">
      <c r="A66" s="48"/>
      <c r="B66" s="189">
        <v>14</v>
      </c>
      <c r="C66" s="193" t="s">
        <v>179</v>
      </c>
      <c r="D66" s="194">
        <v>0.83333333333333337</v>
      </c>
      <c r="E66" s="165"/>
      <c r="F66" s="288" t="s">
        <v>164</v>
      </c>
      <c r="G66" s="288"/>
      <c r="H66" s="288"/>
      <c r="I66" s="166" t="s">
        <v>12</v>
      </c>
      <c r="J66" s="289" t="s">
        <v>18</v>
      </c>
      <c r="K66" s="289"/>
      <c r="L66" s="289"/>
      <c r="M66" s="185">
        <v>0</v>
      </c>
      <c r="N66" s="172" t="s">
        <v>12</v>
      </c>
      <c r="O66" s="185">
        <v>1</v>
      </c>
      <c r="P66" s="171"/>
      <c r="Q66" s="51"/>
      <c r="R66" s="51"/>
      <c r="S66" s="176">
        <v>16</v>
      </c>
      <c r="T66" s="195" t="s">
        <v>173</v>
      </c>
      <c r="U66" s="196">
        <v>0.70833333333333337</v>
      </c>
      <c r="V66" s="114"/>
      <c r="W66" s="272" t="s">
        <v>29</v>
      </c>
      <c r="X66" s="272"/>
      <c r="Y66" s="272"/>
      <c r="Z66" s="115" t="s">
        <v>12</v>
      </c>
      <c r="AA66" s="273" t="s">
        <v>165</v>
      </c>
      <c r="AB66" s="273"/>
      <c r="AC66" s="273"/>
      <c r="AD66" s="185">
        <v>1</v>
      </c>
      <c r="AE66" s="115" t="s">
        <v>12</v>
      </c>
      <c r="AF66" s="185">
        <v>1</v>
      </c>
      <c r="AG66" s="59"/>
      <c r="AH66" s="63"/>
    </row>
    <row r="67" spans="1:34" x14ac:dyDescent="0.2">
      <c r="A67" s="48"/>
      <c r="B67" s="189">
        <v>29</v>
      </c>
      <c r="C67" s="193" t="s">
        <v>180</v>
      </c>
      <c r="D67" s="194">
        <v>0.58333333333333337</v>
      </c>
      <c r="E67" s="165"/>
      <c r="F67" s="288" t="s">
        <v>35</v>
      </c>
      <c r="G67" s="288"/>
      <c r="H67" s="288"/>
      <c r="I67" s="166" t="s">
        <v>12</v>
      </c>
      <c r="J67" s="289" t="s">
        <v>164</v>
      </c>
      <c r="K67" s="289"/>
      <c r="L67" s="289"/>
      <c r="M67" s="187">
        <v>2</v>
      </c>
      <c r="N67" s="172" t="s">
        <v>12</v>
      </c>
      <c r="O67" s="187">
        <v>0</v>
      </c>
      <c r="P67" s="171"/>
      <c r="Q67" s="51"/>
      <c r="R67" s="51"/>
      <c r="S67" s="176">
        <v>31</v>
      </c>
      <c r="T67" s="195" t="s">
        <v>182</v>
      </c>
      <c r="U67" s="196">
        <v>0.70833333333333337</v>
      </c>
      <c r="V67" s="114"/>
      <c r="W67" s="272" t="s">
        <v>167</v>
      </c>
      <c r="X67" s="272"/>
      <c r="Y67" s="272"/>
      <c r="Z67" s="115" t="s">
        <v>12</v>
      </c>
      <c r="AA67" s="273" t="s">
        <v>165</v>
      </c>
      <c r="AB67" s="273"/>
      <c r="AC67" s="273"/>
      <c r="AD67" s="187">
        <v>0</v>
      </c>
      <c r="AE67" s="115" t="s">
        <v>12</v>
      </c>
      <c r="AF67" s="187">
        <v>2</v>
      </c>
      <c r="AG67" s="59"/>
      <c r="AH67" s="63"/>
    </row>
    <row r="68" spans="1:34" x14ac:dyDescent="0.2">
      <c r="A68" s="48"/>
      <c r="B68" s="189">
        <v>30</v>
      </c>
      <c r="C68" s="193" t="s">
        <v>182</v>
      </c>
      <c r="D68" s="194">
        <v>0.58333333333333337</v>
      </c>
      <c r="E68" s="165"/>
      <c r="F68" s="288" t="s">
        <v>18</v>
      </c>
      <c r="G68" s="288"/>
      <c r="H68" s="288"/>
      <c r="I68" s="166" t="s">
        <v>12</v>
      </c>
      <c r="J68" s="289" t="s">
        <v>163</v>
      </c>
      <c r="K68" s="289"/>
      <c r="L68" s="289"/>
      <c r="M68" s="185">
        <v>2</v>
      </c>
      <c r="N68" s="172" t="s">
        <v>12</v>
      </c>
      <c r="O68" s="185">
        <v>1</v>
      </c>
      <c r="P68" s="171"/>
      <c r="Q68" s="51"/>
      <c r="R68" s="51"/>
      <c r="S68" s="176">
        <v>32</v>
      </c>
      <c r="T68" s="195" t="s">
        <v>182</v>
      </c>
      <c r="U68" s="196">
        <v>0.83333333333333337</v>
      </c>
      <c r="V68" s="114"/>
      <c r="W68" s="272" t="s">
        <v>29</v>
      </c>
      <c r="X68" s="272"/>
      <c r="Y68" s="272"/>
      <c r="Z68" s="115" t="s">
        <v>12</v>
      </c>
      <c r="AA68" s="273" t="s">
        <v>166</v>
      </c>
      <c r="AB68" s="273"/>
      <c r="AC68" s="273"/>
      <c r="AD68" s="185">
        <v>1</v>
      </c>
      <c r="AE68" s="115" t="s">
        <v>12</v>
      </c>
      <c r="AF68" s="185">
        <v>2</v>
      </c>
      <c r="AG68" s="59"/>
      <c r="AH68" s="63"/>
    </row>
    <row r="69" spans="1:34" x14ac:dyDescent="0.2">
      <c r="A69" s="48"/>
      <c r="B69" s="189">
        <v>45</v>
      </c>
      <c r="C69" s="193" t="s">
        <v>181</v>
      </c>
      <c r="D69" s="194">
        <v>0.83333333333333337</v>
      </c>
      <c r="E69" s="165"/>
      <c r="F69" s="288" t="s">
        <v>18</v>
      </c>
      <c r="G69" s="288"/>
      <c r="H69" s="288"/>
      <c r="I69" s="166" t="s">
        <v>12</v>
      </c>
      <c r="J69" s="289" t="s">
        <v>35</v>
      </c>
      <c r="K69" s="289"/>
      <c r="L69" s="289"/>
      <c r="M69" s="188">
        <v>1</v>
      </c>
      <c r="N69" s="172" t="s">
        <v>12</v>
      </c>
      <c r="O69" s="188">
        <v>1</v>
      </c>
      <c r="P69" s="171"/>
      <c r="Q69" s="51"/>
      <c r="R69" s="51"/>
      <c r="S69" s="176">
        <v>47</v>
      </c>
      <c r="T69" s="195" t="s">
        <v>181</v>
      </c>
      <c r="U69" s="196">
        <v>0.66666666666666663</v>
      </c>
      <c r="V69" s="114"/>
      <c r="W69" s="272" t="s">
        <v>167</v>
      </c>
      <c r="X69" s="272"/>
      <c r="Y69" s="272"/>
      <c r="Z69" s="115" t="s">
        <v>12</v>
      </c>
      <c r="AA69" s="273" t="s">
        <v>29</v>
      </c>
      <c r="AB69" s="273"/>
      <c r="AC69" s="273"/>
      <c r="AD69" s="188">
        <v>0</v>
      </c>
      <c r="AE69" s="115" t="s">
        <v>12</v>
      </c>
      <c r="AF69" s="188">
        <v>1</v>
      </c>
      <c r="AG69" s="59"/>
      <c r="AH69" s="63"/>
    </row>
    <row r="70" spans="1:34" x14ac:dyDescent="0.2">
      <c r="A70" s="48"/>
      <c r="B70" s="189">
        <v>46</v>
      </c>
      <c r="C70" s="193" t="s">
        <v>181</v>
      </c>
      <c r="D70" s="194">
        <v>0.83333333333333337</v>
      </c>
      <c r="E70" s="165"/>
      <c r="F70" s="288" t="s">
        <v>163</v>
      </c>
      <c r="G70" s="288"/>
      <c r="H70" s="288"/>
      <c r="I70" s="166" t="s">
        <v>12</v>
      </c>
      <c r="J70" s="289" t="s">
        <v>164</v>
      </c>
      <c r="K70" s="289"/>
      <c r="L70" s="289"/>
      <c r="M70" s="185">
        <v>1</v>
      </c>
      <c r="N70" s="172" t="s">
        <v>12</v>
      </c>
      <c r="O70" s="185">
        <v>1</v>
      </c>
      <c r="P70" s="171"/>
      <c r="Q70" s="51"/>
      <c r="R70" s="51"/>
      <c r="S70" s="176">
        <v>48</v>
      </c>
      <c r="T70" s="195" t="s">
        <v>181</v>
      </c>
      <c r="U70" s="196">
        <v>0.66666666666666663</v>
      </c>
      <c r="V70" s="114"/>
      <c r="W70" s="272" t="s">
        <v>165</v>
      </c>
      <c r="X70" s="272"/>
      <c r="Y70" s="272"/>
      <c r="Z70" s="115" t="s">
        <v>12</v>
      </c>
      <c r="AA70" s="273" t="s">
        <v>166</v>
      </c>
      <c r="AB70" s="273"/>
      <c r="AC70" s="273"/>
      <c r="AD70" s="185">
        <v>1</v>
      </c>
      <c r="AE70" s="115" t="s">
        <v>12</v>
      </c>
      <c r="AF70" s="185">
        <v>2</v>
      </c>
      <c r="AG70" s="59"/>
      <c r="AH70" s="63"/>
    </row>
    <row r="71" spans="1:34" ht="16" thickBot="1" x14ac:dyDescent="0.25">
      <c r="A71" s="48"/>
      <c r="B71" s="167"/>
      <c r="C71" s="169"/>
      <c r="D71" s="169"/>
      <c r="E71" s="168"/>
      <c r="F71" s="168"/>
      <c r="G71" s="168"/>
      <c r="H71" s="168"/>
      <c r="I71" s="168"/>
      <c r="J71" s="168"/>
      <c r="K71" s="168"/>
      <c r="L71" s="168"/>
      <c r="M71" s="94"/>
      <c r="N71" s="94"/>
      <c r="O71" s="94"/>
      <c r="P71" s="173"/>
      <c r="Q71" s="51"/>
      <c r="R71" s="51"/>
      <c r="S71" s="116"/>
      <c r="T71" s="94"/>
      <c r="U71" s="94"/>
      <c r="V71" s="94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118"/>
      <c r="AH71" s="63"/>
    </row>
    <row r="72" spans="1:34" ht="16" thickBot="1" x14ac:dyDescent="0.25">
      <c r="A72" s="48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</row>
    <row r="73" spans="1:34" ht="21" x14ac:dyDescent="0.2">
      <c r="A73" s="48"/>
      <c r="B73" s="301" t="s">
        <v>42</v>
      </c>
      <c r="C73" s="302"/>
      <c r="D73" s="302"/>
      <c r="E73" s="302"/>
      <c r="F73" s="302"/>
      <c r="G73" s="302"/>
      <c r="H73" s="302"/>
      <c r="I73" s="302"/>
      <c r="J73" s="302"/>
      <c r="K73" s="302"/>
      <c r="L73" s="302"/>
      <c r="M73" s="302"/>
      <c r="N73" s="302"/>
      <c r="O73" s="302"/>
      <c r="P73" s="303"/>
      <c r="Q73" s="51"/>
      <c r="R73" s="51"/>
      <c r="S73" s="301" t="s">
        <v>50</v>
      </c>
      <c r="T73" s="302"/>
      <c r="U73" s="302"/>
      <c r="V73" s="302"/>
      <c r="W73" s="302"/>
      <c r="X73" s="302"/>
      <c r="Y73" s="302"/>
      <c r="Z73" s="302"/>
      <c r="AA73" s="302"/>
      <c r="AB73" s="302"/>
      <c r="AC73" s="302"/>
      <c r="AD73" s="302"/>
      <c r="AE73" s="302"/>
      <c r="AF73" s="302"/>
      <c r="AG73" s="303"/>
      <c r="AH73" s="63"/>
    </row>
    <row r="74" spans="1:34" x14ac:dyDescent="0.2">
      <c r="A74" s="48"/>
      <c r="B74" s="201" t="s">
        <v>21</v>
      </c>
      <c r="C74" s="257" t="s">
        <v>22</v>
      </c>
      <c r="D74" s="202" t="s">
        <v>23</v>
      </c>
      <c r="E74" s="203"/>
      <c r="F74" s="9"/>
      <c r="G74" s="9"/>
      <c r="H74" s="9"/>
      <c r="I74" s="155" t="s">
        <v>24</v>
      </c>
      <c r="J74" s="9"/>
      <c r="K74" s="9"/>
      <c r="L74" s="9"/>
      <c r="M74" s="9"/>
      <c r="N74" s="155" t="s">
        <v>7</v>
      </c>
      <c r="O74" s="155"/>
      <c r="P74" s="7"/>
      <c r="Q74" s="51"/>
      <c r="R74" s="51"/>
      <c r="S74" s="211" t="s">
        <v>21</v>
      </c>
      <c r="T74" s="255" t="s">
        <v>22</v>
      </c>
      <c r="U74" s="214" t="s">
        <v>23</v>
      </c>
      <c r="V74" s="215"/>
      <c r="W74" s="215"/>
      <c r="X74" s="215"/>
      <c r="Y74" s="216"/>
      <c r="Z74" s="214" t="s">
        <v>24</v>
      </c>
      <c r="AA74" s="216"/>
      <c r="AB74" s="216"/>
      <c r="AC74" s="216"/>
      <c r="AD74" s="209"/>
      <c r="AE74" s="202" t="s">
        <v>7</v>
      </c>
      <c r="AF74" s="212"/>
      <c r="AG74" s="213"/>
      <c r="AH74" s="63"/>
    </row>
    <row r="75" spans="1:34" x14ac:dyDescent="0.2">
      <c r="A75" s="48"/>
      <c r="B75" s="204">
        <v>49</v>
      </c>
      <c r="C75" s="227" t="s">
        <v>225</v>
      </c>
      <c r="D75" s="205">
        <v>0.66666666666666663</v>
      </c>
      <c r="E75" s="206"/>
      <c r="F75" s="290" t="str">
        <f>IF(SUM(E24:E27)=12,C24,"Erster Gruppe C")</f>
        <v>Frankreich</v>
      </c>
      <c r="G75" s="290"/>
      <c r="H75" s="290"/>
      <c r="I75" s="6" t="s">
        <v>12</v>
      </c>
      <c r="J75" s="304" t="str">
        <f>IF(SUM(V24:V27)=12,T25,"Zweiter Gruppe D")</f>
        <v>Kroatien</v>
      </c>
      <c r="K75" s="304"/>
      <c r="L75" s="305"/>
      <c r="M75" s="43">
        <v>1</v>
      </c>
      <c r="N75" s="6" t="s">
        <v>12</v>
      </c>
      <c r="O75" s="43">
        <v>0</v>
      </c>
      <c r="P75" s="4"/>
      <c r="Q75" s="51"/>
      <c r="R75" s="51"/>
      <c r="S75" s="217">
        <v>57</v>
      </c>
      <c r="T75" s="229" t="s">
        <v>231</v>
      </c>
      <c r="U75" s="218">
        <v>0.66666666666666663</v>
      </c>
      <c r="V75" s="293" t="str">
        <f>IF(AND(M76&lt;&gt;"",O76&lt;&gt;""),IF(M76=O76,"Fehler in Spiel 50",IF(M76&gt;O76,F76,J76)),"Sieger Spiel 50")</f>
        <v>Uruguay</v>
      </c>
      <c r="W75" s="293"/>
      <c r="X75" s="293"/>
      <c r="Y75" s="293"/>
      <c r="Z75" s="219" t="s">
        <v>12</v>
      </c>
      <c r="AA75" s="299" t="str">
        <f>IF(AND(M75&lt;&gt;"",O75&lt;&gt;""),IF(M75=O75,"Fehler in Spiel 49",IF(M75&gt;O75,F75,J75)),"Sieger Spiel 49")</f>
        <v>Frankreich</v>
      </c>
      <c r="AB75" s="299"/>
      <c r="AC75" s="300"/>
      <c r="AD75" s="43">
        <v>0</v>
      </c>
      <c r="AE75" s="222" t="s">
        <v>12</v>
      </c>
      <c r="AF75" s="43">
        <v>1</v>
      </c>
      <c r="AG75" s="213"/>
      <c r="AH75" s="63"/>
    </row>
    <row r="76" spans="1:34" x14ac:dyDescent="0.2">
      <c r="A76" s="48"/>
      <c r="B76" s="204">
        <v>50</v>
      </c>
      <c r="C76" s="227" t="s">
        <v>225</v>
      </c>
      <c r="D76" s="205">
        <v>0.83333333333333337</v>
      </c>
      <c r="E76" s="206"/>
      <c r="F76" s="290" t="str">
        <f>IF(SUM(E7:E10)=12,C7,"Erster Gruppe A")</f>
        <v>Uruguay</v>
      </c>
      <c r="G76" s="290"/>
      <c r="H76" s="290"/>
      <c r="I76" s="6" t="s">
        <v>12</v>
      </c>
      <c r="J76" s="291" t="str">
        <f>IF(SUM(V7:V10)=12,T8,"Zweiter Gruppe B")</f>
        <v>Portugal</v>
      </c>
      <c r="K76" s="291"/>
      <c r="L76" s="292"/>
      <c r="M76" s="43">
        <v>1</v>
      </c>
      <c r="N76" s="6" t="s">
        <v>12</v>
      </c>
      <c r="O76" s="43">
        <v>0</v>
      </c>
      <c r="P76" s="4"/>
      <c r="Q76" s="51"/>
      <c r="R76" s="51"/>
      <c r="S76" s="217">
        <v>58</v>
      </c>
      <c r="T76" s="229" t="s">
        <v>231</v>
      </c>
      <c r="U76" s="218">
        <v>0.83333333333333337</v>
      </c>
      <c r="V76" s="293" t="str">
        <f>IF(AND(M75&lt;&gt;"",O79&lt;&gt;""),IF(M79=O79,"Fehler in Spiel 53",IF(M79&gt;O79,F79,J79)),"Sieger Spiel 53")</f>
        <v>Brasilien</v>
      </c>
      <c r="W76" s="293"/>
      <c r="X76" s="293"/>
      <c r="Y76" s="293"/>
      <c r="Z76" s="219" t="s">
        <v>12</v>
      </c>
      <c r="AA76" s="299" t="str">
        <f>IF(AND(M80&lt;&gt;"",O80&lt;&gt;""),IF(M80=O80,"Fehler in Spiel 54",IF(M80&gt;O80,F80,J80)),"Sieger Spiel 54")</f>
        <v>Belgien</v>
      </c>
      <c r="AB76" s="299"/>
      <c r="AC76" s="300"/>
      <c r="AD76" s="43">
        <v>1</v>
      </c>
      <c r="AE76" s="222" t="s">
        <v>12</v>
      </c>
      <c r="AF76" s="43">
        <v>0</v>
      </c>
      <c r="AG76" s="213"/>
      <c r="AH76" s="63"/>
    </row>
    <row r="77" spans="1:34" x14ac:dyDescent="0.2">
      <c r="A77" s="48"/>
      <c r="B77" s="204">
        <v>51</v>
      </c>
      <c r="C77" s="228" t="s">
        <v>226</v>
      </c>
      <c r="D77" s="205">
        <v>0.66666666666666663</v>
      </c>
      <c r="E77" s="206"/>
      <c r="F77" s="290" t="str">
        <f>IF(SUM(V7:V10)=12,T7,"Erster Gruppe B")</f>
        <v>Spanien</v>
      </c>
      <c r="G77" s="290"/>
      <c r="H77" s="290"/>
      <c r="I77" s="6" t="s">
        <v>12</v>
      </c>
      <c r="J77" s="291" t="str">
        <f>IF(SUM(E7:E10)=12,C8,"Zweiter Gruppe A")</f>
        <v>Ägypten</v>
      </c>
      <c r="K77" s="291"/>
      <c r="L77" s="292"/>
      <c r="M77" s="43">
        <v>1</v>
      </c>
      <c r="N77" s="6" t="s">
        <v>12</v>
      </c>
      <c r="O77" s="43">
        <v>0</v>
      </c>
      <c r="P77" s="4"/>
      <c r="Q77" s="51"/>
      <c r="R77" s="51"/>
      <c r="S77" s="217">
        <v>59</v>
      </c>
      <c r="T77" s="229" t="s">
        <v>232</v>
      </c>
      <c r="U77" s="218">
        <v>0.66666666666666663</v>
      </c>
      <c r="V77" s="293" t="str">
        <f>IF(AND(M81&lt;&gt;"",O81&lt;&gt;""),IF(M81=O81,"Fehler in Spiel 55",IF(M81&gt;O81,F81,J81)),"Sieger Spiel 55")</f>
        <v>Deutschland</v>
      </c>
      <c r="W77" s="293"/>
      <c r="X77" s="293"/>
      <c r="Y77" s="293"/>
      <c r="Z77" s="219" t="s">
        <v>12</v>
      </c>
      <c r="AA77" s="299" t="str">
        <f>IF(AND(M82&lt;&gt;"",O82&lt;&gt;""),IF(M82=O82,"Fehler in Spiel 56",IF(M82&gt;O82,F82,J82)),"Sieger Spiel 56")</f>
        <v>Kolumbien</v>
      </c>
      <c r="AB77" s="299"/>
      <c r="AC77" s="300"/>
      <c r="AD77" s="43">
        <v>1</v>
      </c>
      <c r="AE77" s="222" t="s">
        <v>12</v>
      </c>
      <c r="AF77" s="43">
        <v>0</v>
      </c>
      <c r="AG77" s="213"/>
      <c r="AH77" s="63"/>
    </row>
    <row r="78" spans="1:34" x14ac:dyDescent="0.2">
      <c r="A78" s="48"/>
      <c r="B78" s="204">
        <v>52</v>
      </c>
      <c r="C78" s="227" t="s">
        <v>226</v>
      </c>
      <c r="D78" s="205">
        <v>0.83333333333333337</v>
      </c>
      <c r="E78" s="206"/>
      <c r="F78" s="290" t="str">
        <f>IF(SUM(V24:V27)=12,T24,"Erster Gruppe D")</f>
        <v>Argentinien</v>
      </c>
      <c r="G78" s="290"/>
      <c r="H78" s="290"/>
      <c r="I78" s="6" t="s">
        <v>12</v>
      </c>
      <c r="J78" s="291" t="str">
        <f>IF(SUM(E24:E27)=12,C25,"Zweiter Gruppe C")</f>
        <v>Dänemark</v>
      </c>
      <c r="K78" s="291"/>
      <c r="L78" s="292"/>
      <c r="M78" s="43">
        <v>0</v>
      </c>
      <c r="N78" s="6" t="s">
        <v>12</v>
      </c>
      <c r="O78" s="43">
        <v>1</v>
      </c>
      <c r="P78" s="4"/>
      <c r="Q78" s="51"/>
      <c r="R78" s="51"/>
      <c r="S78" s="217">
        <v>60</v>
      </c>
      <c r="T78" s="229" t="s">
        <v>232</v>
      </c>
      <c r="U78" s="218">
        <v>0.83333333333333337</v>
      </c>
      <c r="V78" s="293" t="str">
        <f>IF(AND(M77&lt;&gt;"",O77&lt;&gt;""),IF(M77=O77,"Fehler in Spiel 51",IF(M77&gt;O77,F77,J77)),"Sieger Spiel 51")</f>
        <v>Spanien</v>
      </c>
      <c r="W78" s="293"/>
      <c r="X78" s="293"/>
      <c r="Y78" s="293"/>
      <c r="Z78" s="219" t="s">
        <v>12</v>
      </c>
      <c r="AA78" s="299" t="str">
        <f>IF(AND(M78&lt;&gt;"",O78&lt;&gt;""),IF(M78=O78,"Fehler in Spiel 52",IF(M78&gt;O78,F78,J78)),"Sieger Spiel 52")</f>
        <v>Dänemark</v>
      </c>
      <c r="AB78" s="299"/>
      <c r="AC78" s="300"/>
      <c r="AD78" s="43">
        <v>1</v>
      </c>
      <c r="AE78" s="222" t="s">
        <v>12</v>
      </c>
      <c r="AF78" s="43">
        <v>0</v>
      </c>
      <c r="AG78" s="213"/>
      <c r="AH78" s="63"/>
    </row>
    <row r="79" spans="1:34" ht="16" thickBot="1" x14ac:dyDescent="0.25">
      <c r="A79" s="48"/>
      <c r="B79" s="204">
        <v>53</v>
      </c>
      <c r="C79" s="227" t="s">
        <v>227</v>
      </c>
      <c r="D79" s="205">
        <v>0.66666666666666663</v>
      </c>
      <c r="E79" s="206"/>
      <c r="F79" s="290" t="str">
        <f>IF(SUM(E41:E44)=12,C41,"Erster Gruppe E")</f>
        <v>Brasilien</v>
      </c>
      <c r="G79" s="290"/>
      <c r="H79" s="290"/>
      <c r="I79" s="6" t="s">
        <v>12</v>
      </c>
      <c r="J79" s="291" t="str">
        <f>IF(SUM(V41:V44)=12,T42,"Zweiter Gruppe F")</f>
        <v>Schweden</v>
      </c>
      <c r="K79" s="291"/>
      <c r="L79" s="292"/>
      <c r="M79" s="43">
        <v>1</v>
      </c>
      <c r="N79" s="6" t="s">
        <v>12</v>
      </c>
      <c r="O79" s="43">
        <v>0</v>
      </c>
      <c r="P79" s="4"/>
      <c r="Q79" s="51"/>
      <c r="R79" s="51"/>
      <c r="S79" s="220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08"/>
      <c r="AE79" s="208"/>
      <c r="AF79" s="208"/>
      <c r="AG79" s="223"/>
      <c r="AH79" s="63"/>
    </row>
    <row r="80" spans="1:34" ht="16" thickBot="1" x14ac:dyDescent="0.25">
      <c r="A80" s="48"/>
      <c r="B80" s="204">
        <v>54</v>
      </c>
      <c r="C80" s="227" t="s">
        <v>227</v>
      </c>
      <c r="D80" s="205">
        <v>0.83333333333333337</v>
      </c>
      <c r="E80" s="206"/>
      <c r="F80" s="290" t="str">
        <f>IF(SUM(E58:E61)=12,C58,"Erster Gruppe G")</f>
        <v>Belgien</v>
      </c>
      <c r="G80" s="290"/>
      <c r="H80" s="290"/>
      <c r="I80" s="6" t="s">
        <v>12</v>
      </c>
      <c r="J80" s="304" t="str">
        <f>IF(SUM(V58:V61)=12,T59,"Zweiter Gruppe H")</f>
        <v>Senegal</v>
      </c>
      <c r="K80" s="304"/>
      <c r="L80" s="305"/>
      <c r="M80" s="43">
        <v>1</v>
      </c>
      <c r="N80" s="6" t="s">
        <v>12</v>
      </c>
      <c r="O80" s="43">
        <v>0</v>
      </c>
      <c r="P80" s="4"/>
      <c r="Q80" s="51"/>
      <c r="R80" s="51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51"/>
      <c r="AE80" s="51"/>
      <c r="AF80" s="51"/>
      <c r="AG80" s="51"/>
      <c r="AH80" s="63"/>
    </row>
    <row r="81" spans="1:34" ht="15.5" customHeight="1" x14ac:dyDescent="0.2">
      <c r="A81" s="48"/>
      <c r="B81" s="204">
        <v>55</v>
      </c>
      <c r="C81" s="227" t="s">
        <v>228</v>
      </c>
      <c r="D81" s="205">
        <v>0.66666666666666663</v>
      </c>
      <c r="E81" s="206"/>
      <c r="F81" s="290" t="str">
        <f>IF(SUM(V41:V44)=12,T41,"Erster Gruppe F")</f>
        <v>Deutschland</v>
      </c>
      <c r="G81" s="290"/>
      <c r="H81" s="290"/>
      <c r="I81" s="6" t="s">
        <v>12</v>
      </c>
      <c r="J81" s="304" t="str">
        <f>IF(SUM(E41:E44)=12,C42,"Zweiter Gruppe E")</f>
        <v>Schweiz</v>
      </c>
      <c r="K81" s="304"/>
      <c r="L81" s="305"/>
      <c r="M81" s="43">
        <v>1</v>
      </c>
      <c r="N81" s="6" t="s">
        <v>12</v>
      </c>
      <c r="O81" s="43">
        <v>0</v>
      </c>
      <c r="P81" s="4"/>
      <c r="Q81" s="51"/>
      <c r="R81" s="51"/>
      <c r="S81" s="154"/>
      <c r="T81" s="154"/>
      <c r="U81" s="154"/>
      <c r="V81" s="154"/>
      <c r="W81" s="154"/>
      <c r="X81" s="154"/>
      <c r="Y81" s="154"/>
      <c r="Z81" s="226" t="s">
        <v>51</v>
      </c>
      <c r="AA81" s="154"/>
      <c r="AB81" s="154"/>
      <c r="AC81" s="154"/>
      <c r="AD81" s="154"/>
      <c r="AE81" s="154"/>
      <c r="AF81" s="154"/>
      <c r="AG81" s="154"/>
      <c r="AH81" s="63"/>
    </row>
    <row r="82" spans="1:34" x14ac:dyDescent="0.2">
      <c r="A82" s="48"/>
      <c r="B82" s="204">
        <v>56</v>
      </c>
      <c r="C82" s="227" t="s">
        <v>228</v>
      </c>
      <c r="D82" s="205">
        <v>0.83333333333333337</v>
      </c>
      <c r="E82" s="206"/>
      <c r="F82" s="290" t="str">
        <f>IF(SUM(V58:V61)=12,T58,"Erster Gruppe H")</f>
        <v>Kolumbien</v>
      </c>
      <c r="G82" s="290"/>
      <c r="H82" s="290"/>
      <c r="I82" s="6" t="s">
        <v>12</v>
      </c>
      <c r="J82" s="304" t="str">
        <f>IF(SUM(E58:E61)=12,C59,"Zweiter Gruppe G")</f>
        <v>England</v>
      </c>
      <c r="K82" s="304"/>
      <c r="L82" s="305"/>
      <c r="M82" s="43">
        <v>1</v>
      </c>
      <c r="N82" s="6" t="s">
        <v>12</v>
      </c>
      <c r="O82" s="43">
        <v>0</v>
      </c>
      <c r="P82" s="4"/>
      <c r="Q82" s="51"/>
      <c r="R82" s="51"/>
      <c r="S82" s="201" t="s">
        <v>21</v>
      </c>
      <c r="T82" s="257" t="s">
        <v>22</v>
      </c>
      <c r="U82" s="202" t="s">
        <v>23</v>
      </c>
      <c r="V82" s="209"/>
      <c r="W82" s="10"/>
      <c r="X82" s="10"/>
      <c r="Y82" s="9"/>
      <c r="Z82" s="155" t="s">
        <v>24</v>
      </c>
      <c r="AA82" s="9"/>
      <c r="AB82" s="9"/>
      <c r="AC82" s="10"/>
      <c r="AD82" s="10"/>
      <c r="AE82" s="155" t="s">
        <v>7</v>
      </c>
      <c r="AF82" s="3"/>
      <c r="AG82" s="4"/>
      <c r="AH82" s="63"/>
    </row>
    <row r="83" spans="1:34" ht="16" thickBot="1" x14ac:dyDescent="0.25">
      <c r="A83" s="48"/>
      <c r="B83" s="207"/>
      <c r="C83" s="208"/>
      <c r="D83" s="208"/>
      <c r="E83" s="208"/>
      <c r="F83" s="5"/>
      <c r="G83" s="5"/>
      <c r="H83" s="5"/>
      <c r="I83" s="5"/>
      <c r="J83" s="5"/>
      <c r="K83" s="5"/>
      <c r="L83" s="5"/>
      <c r="M83" s="5"/>
      <c r="N83" s="5"/>
      <c r="O83" s="5"/>
      <c r="P83" s="8"/>
      <c r="Q83" s="51"/>
      <c r="R83" s="51"/>
      <c r="S83" s="204">
        <v>61</v>
      </c>
      <c r="T83" s="230" t="s">
        <v>233</v>
      </c>
      <c r="U83" s="210">
        <v>0.83333333333333337</v>
      </c>
      <c r="V83" s="206"/>
      <c r="W83" s="290" t="str">
        <f>IF(AND(AD75&lt;&gt;"",AF75&lt;&gt;""),IF(AD75=AF75,"Fehler in Spiel 57",IF(AD75&gt;AF75,V75,AA75)),"Sieger Spiel 57")</f>
        <v>Frankreich</v>
      </c>
      <c r="X83" s="290"/>
      <c r="Y83" s="290"/>
      <c r="Z83" s="6" t="s">
        <v>12</v>
      </c>
      <c r="AA83" s="306" t="str">
        <f>IF(AND(AD76&lt;&gt;"",AF76&lt;&gt;""),IF(AD76=AF76,"Fehler in Spiel 58",IF(AD76&gt;AF76,V76,AA76)),"Sieger Spiel 58")</f>
        <v>Brasilien</v>
      </c>
      <c r="AB83" s="306"/>
      <c r="AC83" s="306"/>
      <c r="AD83" s="43">
        <v>1</v>
      </c>
      <c r="AE83" s="6" t="s">
        <v>12</v>
      </c>
      <c r="AF83" s="43">
        <v>0</v>
      </c>
      <c r="AG83" s="4"/>
      <c r="AH83" s="63"/>
    </row>
    <row r="84" spans="1:34" x14ac:dyDescent="0.2">
      <c r="A84" s="48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51"/>
      <c r="N84" s="51"/>
      <c r="O84" s="51"/>
      <c r="P84" s="51"/>
      <c r="Q84" s="51"/>
      <c r="R84" s="51"/>
      <c r="S84" s="204">
        <v>62</v>
      </c>
      <c r="T84" s="230" t="s">
        <v>234</v>
      </c>
      <c r="U84" s="210">
        <v>0.83333333333333337</v>
      </c>
      <c r="V84" s="206"/>
      <c r="W84" s="290" t="str">
        <f>IF(AND(AD78&lt;&gt;"",AF78&lt;&gt;""),IF(AD78=AF78,"Fehler in Spiel 60",IF(AD78&gt;AF78,V78,AA78)),"Sieger Spiel 60")</f>
        <v>Spanien</v>
      </c>
      <c r="X84" s="290"/>
      <c r="Y84" s="290"/>
      <c r="Z84" s="6" t="s">
        <v>12</v>
      </c>
      <c r="AA84" s="306" t="str">
        <f>IF(AND(AD77&lt;&gt;"",AF77&lt;&gt;""),IF(AD77=AF77,"Fehler in Spiel 59",IF(AD77&gt;AF77,V77,AA77)),"Sieger Spiel 59")</f>
        <v>Deutschland</v>
      </c>
      <c r="AB84" s="306"/>
      <c r="AC84" s="306"/>
      <c r="AD84" s="43">
        <v>1</v>
      </c>
      <c r="AE84" s="6" t="s">
        <v>12</v>
      </c>
      <c r="AF84" s="43">
        <v>0</v>
      </c>
      <c r="AG84" s="4"/>
      <c r="AH84" s="63"/>
    </row>
    <row r="85" spans="1:34" ht="16" thickBot="1" x14ac:dyDescent="0.25">
      <c r="A85" s="48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51"/>
      <c r="N85" s="51"/>
      <c r="O85" s="51"/>
      <c r="P85" s="51"/>
      <c r="Q85" s="51"/>
      <c r="R85" s="51"/>
      <c r="S85" s="207"/>
      <c r="T85" s="208"/>
      <c r="U85" s="208"/>
      <c r="V85" s="208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8"/>
      <c r="AH85" s="63"/>
    </row>
    <row r="86" spans="1:34" ht="16" thickBot="1" x14ac:dyDescent="0.25">
      <c r="A86" s="48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51"/>
      <c r="N86" s="51"/>
      <c r="O86" s="51"/>
      <c r="P86" s="51"/>
      <c r="Q86" s="51"/>
      <c r="R86" s="51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51"/>
      <c r="AE86" s="51"/>
      <c r="AF86" s="51"/>
      <c r="AG86" s="51"/>
      <c r="AH86" s="63"/>
    </row>
    <row r="87" spans="1:34" ht="16" thickBot="1" x14ac:dyDescent="0.25">
      <c r="A87" s="48"/>
      <c r="B87" s="265" t="s">
        <v>237</v>
      </c>
      <c r="C87" s="265"/>
      <c r="D87" s="265"/>
      <c r="E87" s="265"/>
      <c r="F87" s="265"/>
      <c r="G87" s="265"/>
      <c r="H87" s="265"/>
      <c r="I87" s="265"/>
      <c r="J87" s="265"/>
      <c r="K87" s="265"/>
      <c r="L87" s="265"/>
      <c r="M87" s="265"/>
      <c r="N87" s="265"/>
      <c r="O87" s="265"/>
      <c r="P87" s="265"/>
      <c r="Q87" s="51"/>
      <c r="R87" s="51"/>
      <c r="S87" s="265" t="s">
        <v>52</v>
      </c>
      <c r="T87" s="265"/>
      <c r="U87" s="265"/>
      <c r="V87" s="265"/>
      <c r="W87" s="265"/>
      <c r="X87" s="265"/>
      <c r="Y87" s="265"/>
      <c r="Z87" s="265"/>
      <c r="AA87" s="265"/>
      <c r="AB87" s="265"/>
      <c r="AC87" s="265"/>
      <c r="AD87" s="265"/>
      <c r="AE87" s="265"/>
      <c r="AF87" s="265"/>
      <c r="AG87" s="265"/>
      <c r="AH87" s="49"/>
    </row>
    <row r="88" spans="1:34" ht="16" thickBot="1" x14ac:dyDescent="0.25">
      <c r="A88" s="48"/>
      <c r="B88" s="265"/>
      <c r="C88" s="265"/>
      <c r="D88" s="265"/>
      <c r="E88" s="265"/>
      <c r="F88" s="265"/>
      <c r="G88" s="265"/>
      <c r="H88" s="265"/>
      <c r="I88" s="265"/>
      <c r="J88" s="265"/>
      <c r="K88" s="265"/>
      <c r="L88" s="265"/>
      <c r="M88" s="265"/>
      <c r="N88" s="265"/>
      <c r="O88" s="265"/>
      <c r="P88" s="265"/>
      <c r="Q88" s="51"/>
      <c r="R88" s="51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49"/>
    </row>
    <row r="89" spans="1:34" x14ac:dyDescent="0.2">
      <c r="A89" s="48"/>
      <c r="B89" s="201" t="s">
        <v>21</v>
      </c>
      <c r="C89" s="257" t="s">
        <v>22</v>
      </c>
      <c r="D89" s="202" t="s">
        <v>23</v>
      </c>
      <c r="E89" s="209"/>
      <c r="F89" s="10"/>
      <c r="G89" s="10"/>
      <c r="H89" s="9"/>
      <c r="I89" s="155" t="s">
        <v>24</v>
      </c>
      <c r="J89" s="9"/>
      <c r="K89" s="9"/>
      <c r="L89" s="10"/>
      <c r="M89" s="10"/>
      <c r="N89" s="155" t="s">
        <v>7</v>
      </c>
      <c r="O89" s="3"/>
      <c r="P89" s="4"/>
      <c r="Q89" s="51"/>
      <c r="R89" s="51"/>
      <c r="S89" s="201" t="s">
        <v>21</v>
      </c>
      <c r="T89" s="257" t="s">
        <v>22</v>
      </c>
      <c r="U89" s="202" t="s">
        <v>23</v>
      </c>
      <c r="V89" s="209"/>
      <c r="W89" s="10"/>
      <c r="X89" s="10"/>
      <c r="Y89" s="9"/>
      <c r="Z89" s="2" t="s">
        <v>24</v>
      </c>
      <c r="AA89" s="9"/>
      <c r="AB89" s="9"/>
      <c r="AC89" s="10"/>
      <c r="AD89" s="10"/>
      <c r="AE89" s="2" t="s">
        <v>7</v>
      </c>
      <c r="AF89" s="3"/>
      <c r="AG89" s="4"/>
      <c r="AH89" s="49"/>
    </row>
    <row r="90" spans="1:34" x14ac:dyDescent="0.2">
      <c r="A90" s="48"/>
      <c r="B90" s="204">
        <v>63</v>
      </c>
      <c r="C90" s="230" t="s">
        <v>235</v>
      </c>
      <c r="D90" s="210">
        <v>0.66666666666666663</v>
      </c>
      <c r="E90" s="206"/>
      <c r="F90" s="290" t="str">
        <f>IF(AND(AD83&lt;&gt;"",AF83&lt;&gt;""),IF(AD83=AF83,"Fehler in Spiel 61",IF(AD83&lt;AF83,W83,AA83)),"Verlierer Spiel 61")</f>
        <v>Brasilien</v>
      </c>
      <c r="G90" s="290"/>
      <c r="H90" s="290"/>
      <c r="I90" s="6" t="s">
        <v>12</v>
      </c>
      <c r="J90" s="44" t="str">
        <f>IF(AND(AD84&lt;&gt;"",AF84&lt;&gt;""),IF(AD84=AF84,"Fehler in Spiel 62",IF(AD84&lt;AF84,W84,AA84)),"Sieger Spiel 62")</f>
        <v>Deutschland</v>
      </c>
      <c r="K90" s="1"/>
      <c r="L90" s="1"/>
      <c r="M90" s="43">
        <v>0</v>
      </c>
      <c r="N90" s="6" t="s">
        <v>12</v>
      </c>
      <c r="O90" s="43">
        <v>1</v>
      </c>
      <c r="P90" s="4"/>
      <c r="Q90" s="51"/>
      <c r="R90" s="51"/>
      <c r="S90" s="204">
        <v>64</v>
      </c>
      <c r="T90" s="230" t="s">
        <v>236</v>
      </c>
      <c r="U90" s="210">
        <v>0.70833333333333337</v>
      </c>
      <c r="V90" s="206"/>
      <c r="W90" s="290" t="str">
        <f>IF(AND(AD83&lt;&gt;"",AF83&lt;&gt;""),IF(AD83=AF83,"Fehler in Spiel 61",IF(AD83&gt;AF83,W83,AA83)),"Sieger Spiel 61")</f>
        <v>Frankreich</v>
      </c>
      <c r="X90" s="290"/>
      <c r="Y90" s="290"/>
      <c r="Z90" s="6" t="s">
        <v>12</v>
      </c>
      <c r="AA90" s="44" t="str">
        <f>IF(AND(AD84&lt;&gt;"",AF84&lt;&gt;""),IF(AD84=AF84,"Fehler in Spiel 62",IF(AD84&gt;AF84,W84,AA84)),"Sieger Spiel 62")</f>
        <v>Spanien</v>
      </c>
      <c r="AB90" s="1"/>
      <c r="AC90" s="1"/>
      <c r="AD90" s="43">
        <v>1</v>
      </c>
      <c r="AE90" s="6" t="s">
        <v>12</v>
      </c>
      <c r="AF90" s="43">
        <v>0</v>
      </c>
      <c r="AG90" s="4"/>
      <c r="AH90" s="49"/>
    </row>
    <row r="91" spans="1:34" ht="16" thickBot="1" x14ac:dyDescent="0.25">
      <c r="A91" s="48"/>
      <c r="B91" s="207"/>
      <c r="C91" s="208"/>
      <c r="D91" s="208"/>
      <c r="E91" s="208"/>
      <c r="F91" s="5"/>
      <c r="G91" s="5"/>
      <c r="H91" s="5"/>
      <c r="I91" s="5"/>
      <c r="J91" s="5"/>
      <c r="K91" s="5"/>
      <c r="L91" s="5"/>
      <c r="M91" s="5"/>
      <c r="N91" s="5"/>
      <c r="O91" s="5"/>
      <c r="P91" s="8"/>
      <c r="Q91" s="51"/>
      <c r="R91" s="51"/>
      <c r="S91" s="207"/>
      <c r="T91" s="208"/>
      <c r="U91" s="208"/>
      <c r="V91" s="208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8"/>
      <c r="AH91" s="49"/>
    </row>
    <row r="92" spans="1:34" x14ac:dyDescent="0.2">
      <c r="A92" s="48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63"/>
      <c r="X92" s="63"/>
      <c r="Y92" s="63"/>
      <c r="Z92" s="63"/>
      <c r="AA92" s="63"/>
      <c r="AB92" s="63"/>
      <c r="AC92" s="63"/>
      <c r="AD92" s="63"/>
      <c r="AE92" s="63"/>
      <c r="AF92" s="63"/>
      <c r="AG92" s="63"/>
      <c r="AH92" s="49"/>
    </row>
    <row r="93" spans="1:34" ht="16" thickBot="1" x14ac:dyDescent="0.25">
      <c r="A93" s="48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97"/>
      <c r="N93" s="192"/>
      <c r="O93" s="198"/>
      <c r="P93" s="51"/>
      <c r="Q93" s="51"/>
      <c r="R93" s="51"/>
      <c r="S93" s="198"/>
      <c r="T93" s="198"/>
      <c r="U93" s="198"/>
      <c r="V93" s="51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49"/>
    </row>
    <row r="94" spans="1:34" ht="16" thickBot="1" x14ac:dyDescent="0.25">
      <c r="A94" s="48"/>
      <c r="B94" s="260"/>
      <c r="C94" s="260"/>
      <c r="D94" s="260"/>
      <c r="E94" s="260"/>
      <c r="F94" s="260"/>
      <c r="G94" s="260"/>
      <c r="H94" s="260"/>
      <c r="I94" s="260"/>
      <c r="J94" s="260"/>
      <c r="K94" s="260"/>
      <c r="L94" s="260"/>
      <c r="M94" s="51"/>
      <c r="N94" s="265" t="s">
        <v>238</v>
      </c>
      <c r="O94" s="265"/>
      <c r="P94" s="265"/>
      <c r="Q94" s="265"/>
      <c r="R94" s="265"/>
      <c r="S94" s="265"/>
      <c r="T94" s="265"/>
      <c r="U94" s="51"/>
      <c r="V94" s="261"/>
      <c r="W94" s="262"/>
      <c r="X94" s="262"/>
      <c r="Y94" s="262"/>
      <c r="Z94" s="262"/>
      <c r="AA94" s="262"/>
      <c r="AB94" s="262"/>
      <c r="AC94" s="262"/>
      <c r="AD94" s="262"/>
      <c r="AE94" s="262"/>
      <c r="AF94" s="262"/>
      <c r="AG94" s="262"/>
      <c r="AH94" s="49"/>
    </row>
    <row r="95" spans="1:34" ht="16" thickBot="1" x14ac:dyDescent="0.25">
      <c r="A95" s="48"/>
      <c r="B95" s="260"/>
      <c r="C95" s="260"/>
      <c r="D95" s="260"/>
      <c r="E95" s="260"/>
      <c r="F95" s="260"/>
      <c r="G95" s="260"/>
      <c r="H95" s="260"/>
      <c r="I95" s="260"/>
      <c r="J95" s="260"/>
      <c r="K95" s="260"/>
      <c r="L95" s="260"/>
      <c r="M95" s="51"/>
      <c r="N95" s="265"/>
      <c r="O95" s="265"/>
      <c r="P95" s="265"/>
      <c r="Q95" s="265"/>
      <c r="R95" s="265"/>
      <c r="S95" s="265"/>
      <c r="T95" s="265"/>
      <c r="U95" s="51"/>
      <c r="V95" s="261"/>
      <c r="W95" s="262"/>
      <c r="X95" s="262"/>
      <c r="Y95" s="262"/>
      <c r="Z95" s="262"/>
      <c r="AA95" s="262"/>
      <c r="AB95" s="262"/>
      <c r="AC95" s="262"/>
      <c r="AD95" s="262"/>
      <c r="AE95" s="262"/>
      <c r="AF95" s="262"/>
      <c r="AG95" s="262"/>
      <c r="AH95" s="49"/>
    </row>
    <row r="96" spans="1:34" ht="16" thickBot="1" x14ac:dyDescent="0.25">
      <c r="A96" s="48"/>
      <c r="B96" s="260"/>
      <c r="C96" s="260"/>
      <c r="D96" s="260"/>
      <c r="E96" s="260"/>
      <c r="F96" s="260"/>
      <c r="G96" s="260"/>
      <c r="H96" s="260"/>
      <c r="I96" s="260"/>
      <c r="J96" s="260"/>
      <c r="K96" s="260"/>
      <c r="L96" s="260"/>
      <c r="M96" s="51"/>
      <c r="N96" s="298" t="str">
        <f>IF(AND(AD90&lt;&gt;"",AF90&lt;&gt;""),IF(AD90=AF90,"Fehler in Spiel 51",IF(AD90&gt;AF90,W90,AA90)),"")</f>
        <v>Frankreich</v>
      </c>
      <c r="O96" s="298"/>
      <c r="P96" s="298"/>
      <c r="Q96" s="298"/>
      <c r="R96" s="298"/>
      <c r="S96" s="298"/>
      <c r="T96" s="298"/>
      <c r="U96" s="51"/>
      <c r="V96" s="261"/>
      <c r="W96" s="262"/>
      <c r="X96" s="262"/>
      <c r="Y96" s="262"/>
      <c r="Z96" s="262"/>
      <c r="AA96" s="262"/>
      <c r="AB96" s="262"/>
      <c r="AC96" s="262"/>
      <c r="AD96" s="262"/>
      <c r="AE96" s="262"/>
      <c r="AF96" s="262"/>
      <c r="AG96" s="262"/>
      <c r="AH96" s="49"/>
    </row>
    <row r="97" spans="1:34" ht="22" thickBot="1" x14ac:dyDescent="0.25">
      <c r="A97" s="48"/>
      <c r="B97" s="260"/>
      <c r="C97" s="260"/>
      <c r="D97" s="260"/>
      <c r="E97" s="260"/>
      <c r="F97" s="260"/>
      <c r="G97" s="260"/>
      <c r="H97" s="260"/>
      <c r="I97" s="260"/>
      <c r="J97" s="260"/>
      <c r="K97" s="260"/>
      <c r="L97" s="260"/>
      <c r="M97" s="51"/>
      <c r="N97" s="298"/>
      <c r="O97" s="298"/>
      <c r="P97" s="298"/>
      <c r="Q97" s="298"/>
      <c r="R97" s="298"/>
      <c r="S97" s="298"/>
      <c r="T97" s="298"/>
      <c r="U97" s="199"/>
      <c r="V97" s="261"/>
      <c r="W97" s="262"/>
      <c r="X97" s="262"/>
      <c r="Y97" s="262"/>
      <c r="Z97" s="262"/>
      <c r="AA97" s="262"/>
      <c r="AB97" s="262"/>
      <c r="AC97" s="262"/>
      <c r="AD97" s="262"/>
      <c r="AE97" s="262"/>
      <c r="AF97" s="262"/>
      <c r="AG97" s="262"/>
      <c r="AH97" s="49"/>
    </row>
    <row r="98" spans="1:34" ht="22" thickBot="1" x14ac:dyDescent="0.25">
      <c r="A98" s="48"/>
      <c r="B98" s="260"/>
      <c r="C98" s="260"/>
      <c r="D98" s="260"/>
      <c r="E98" s="260"/>
      <c r="F98" s="260"/>
      <c r="G98" s="260"/>
      <c r="H98" s="260"/>
      <c r="I98" s="260"/>
      <c r="J98" s="260"/>
      <c r="K98" s="260"/>
      <c r="L98" s="260"/>
      <c r="M98" s="199"/>
      <c r="N98" s="298"/>
      <c r="O98" s="298"/>
      <c r="P98" s="298"/>
      <c r="Q98" s="298"/>
      <c r="R98" s="298"/>
      <c r="S98" s="298"/>
      <c r="T98" s="298"/>
      <c r="U98" s="199"/>
      <c r="V98" s="261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49"/>
    </row>
    <row r="99" spans="1:34" ht="22" thickBot="1" x14ac:dyDescent="0.25">
      <c r="A99" s="48"/>
      <c r="B99" s="263"/>
      <c r="C99" s="263"/>
      <c r="D99" s="263"/>
      <c r="E99" s="263"/>
      <c r="F99" s="263"/>
      <c r="G99" s="263"/>
      <c r="H99" s="263"/>
      <c r="I99" s="263"/>
      <c r="J99" s="263"/>
      <c r="K99" s="263"/>
      <c r="L99" s="263"/>
      <c r="M99" s="199"/>
      <c r="N99" s="298"/>
      <c r="O99" s="298"/>
      <c r="P99" s="298"/>
      <c r="Q99" s="298"/>
      <c r="R99" s="298"/>
      <c r="S99" s="298"/>
      <c r="T99" s="298"/>
      <c r="U99" s="200"/>
      <c r="V99" s="261"/>
      <c r="W99" s="262"/>
      <c r="X99" s="262"/>
      <c r="Y99" s="262"/>
      <c r="Z99" s="262"/>
      <c r="AA99" s="262"/>
      <c r="AB99" s="262"/>
      <c r="AC99" s="262"/>
      <c r="AD99" s="262"/>
      <c r="AE99" s="262"/>
      <c r="AF99" s="262"/>
      <c r="AG99" s="262"/>
      <c r="AH99" s="49"/>
    </row>
    <row r="100" spans="1:34" ht="21" x14ac:dyDescent="0.2">
      <c r="A100" s="48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51"/>
      <c r="N100" s="51"/>
      <c r="O100" s="51"/>
      <c r="P100" s="51"/>
      <c r="Q100" s="51"/>
      <c r="R100" s="51"/>
      <c r="S100" s="200"/>
      <c r="T100" s="200"/>
      <c r="U100" s="199"/>
      <c r="V100" s="51"/>
      <c r="W100" s="63"/>
      <c r="X100" s="63"/>
      <c r="Y100" s="63"/>
      <c r="Z100" s="63"/>
      <c r="AA100" s="63"/>
      <c r="AB100" s="63"/>
      <c r="AC100" s="63"/>
      <c r="AD100" s="63"/>
      <c r="AE100" s="63"/>
      <c r="AF100" s="63"/>
      <c r="AG100" s="63"/>
      <c r="AH100" s="49"/>
    </row>
  </sheetData>
  <sheetProtection algorithmName="SHA-512" hashValue="KN7acEMHdXLTb2g4c75xTj7Xa/L73bzO7wnD0Nj//8++azjgdD5Azdf18cc21GekbQCoJLenZoI4toMHz3vTfA==" saltValue="bhAi4M1Rc5sDIM1ofG3jMw==" spinCount="100000" sheet="1" objects="1" scenarios="1"/>
  <mergeCells count="188">
    <mergeCell ref="B87:P88"/>
    <mergeCell ref="F90:H90"/>
    <mergeCell ref="W83:Y83"/>
    <mergeCell ref="AA83:AC83"/>
    <mergeCell ref="W84:Y84"/>
    <mergeCell ref="AA84:AC84"/>
    <mergeCell ref="F78:H78"/>
    <mergeCell ref="J78:L78"/>
    <mergeCell ref="F79:H79"/>
    <mergeCell ref="J79:L79"/>
    <mergeCell ref="F80:H80"/>
    <mergeCell ref="J80:L80"/>
    <mergeCell ref="F81:H81"/>
    <mergeCell ref="J81:L81"/>
    <mergeCell ref="F82:H82"/>
    <mergeCell ref="J82:L82"/>
    <mergeCell ref="W53:Y53"/>
    <mergeCell ref="AA53:AC53"/>
    <mergeCell ref="F50:H50"/>
    <mergeCell ref="J50:L50"/>
    <mergeCell ref="W50:Y50"/>
    <mergeCell ref="AA50:AC50"/>
    <mergeCell ref="F51:H51"/>
    <mergeCell ref="J51:L51"/>
    <mergeCell ref="W51:Y51"/>
    <mergeCell ref="AA51:AC51"/>
    <mergeCell ref="F52:H52"/>
    <mergeCell ref="J52:L52"/>
    <mergeCell ref="W52:Y52"/>
    <mergeCell ref="AA52:AC52"/>
    <mergeCell ref="A1:L3"/>
    <mergeCell ref="M1:V4"/>
    <mergeCell ref="W2:AH3"/>
    <mergeCell ref="S87:AG88"/>
    <mergeCell ref="W90:Y90"/>
    <mergeCell ref="N94:T95"/>
    <mergeCell ref="N96:T99"/>
    <mergeCell ref="AA78:AC78"/>
    <mergeCell ref="AA76:AC76"/>
    <mergeCell ref="V76:Y76"/>
    <mergeCell ref="V77:Y77"/>
    <mergeCell ref="V78:Y78"/>
    <mergeCell ref="AA75:AC75"/>
    <mergeCell ref="AA77:AC77"/>
    <mergeCell ref="F70:H70"/>
    <mergeCell ref="J70:L70"/>
    <mergeCell ref="W70:Y70"/>
    <mergeCell ref="AA70:AC70"/>
    <mergeCell ref="B73:P73"/>
    <mergeCell ref="S73:AG73"/>
    <mergeCell ref="F75:H75"/>
    <mergeCell ref="J75:L75"/>
    <mergeCell ref="F76:H76"/>
    <mergeCell ref="J76:L76"/>
    <mergeCell ref="F77:H77"/>
    <mergeCell ref="J77:L77"/>
    <mergeCell ref="V75:Y75"/>
    <mergeCell ref="F68:H68"/>
    <mergeCell ref="J68:L68"/>
    <mergeCell ref="W68:Y68"/>
    <mergeCell ref="AA68:AC68"/>
    <mergeCell ref="F69:H69"/>
    <mergeCell ref="J69:L69"/>
    <mergeCell ref="W69:Y69"/>
    <mergeCell ref="AA69:AC69"/>
    <mergeCell ref="F66:H66"/>
    <mergeCell ref="J66:L66"/>
    <mergeCell ref="W66:Y66"/>
    <mergeCell ref="AA66:AC66"/>
    <mergeCell ref="F67:H67"/>
    <mergeCell ref="J67:L67"/>
    <mergeCell ref="W67:Y67"/>
    <mergeCell ref="AA67:AC67"/>
    <mergeCell ref="F64:L64"/>
    <mergeCell ref="W64:AC64"/>
    <mergeCell ref="F65:H65"/>
    <mergeCell ref="J65:L65"/>
    <mergeCell ref="W65:Y65"/>
    <mergeCell ref="AA65:AC65"/>
    <mergeCell ref="C61:D61"/>
    <mergeCell ref="T61:U61"/>
    <mergeCell ref="B63:P63"/>
    <mergeCell ref="S63:AG63"/>
    <mergeCell ref="B56:P56"/>
    <mergeCell ref="S56:AG56"/>
    <mergeCell ref="C58:D58"/>
    <mergeCell ref="T58:U58"/>
    <mergeCell ref="C59:D59"/>
    <mergeCell ref="T59:U59"/>
    <mergeCell ref="W35:Y35"/>
    <mergeCell ref="AA35:AC35"/>
    <mergeCell ref="F36:H36"/>
    <mergeCell ref="J36:L36"/>
    <mergeCell ref="W36:Y36"/>
    <mergeCell ref="AA36:AC36"/>
    <mergeCell ref="B39:P39"/>
    <mergeCell ref="S39:AG39"/>
    <mergeCell ref="C60:D60"/>
    <mergeCell ref="T60:U60"/>
    <mergeCell ref="B46:P46"/>
    <mergeCell ref="S46:AG46"/>
    <mergeCell ref="F47:L47"/>
    <mergeCell ref="W47:AC47"/>
    <mergeCell ref="F48:H48"/>
    <mergeCell ref="J48:L48"/>
    <mergeCell ref="W48:Y48"/>
    <mergeCell ref="AA48:AC48"/>
    <mergeCell ref="F49:H49"/>
    <mergeCell ref="J49:L49"/>
    <mergeCell ref="W49:Y49"/>
    <mergeCell ref="AA49:AC49"/>
    <mergeCell ref="F53:H53"/>
    <mergeCell ref="J53:L53"/>
    <mergeCell ref="C41:D41"/>
    <mergeCell ref="T41:U41"/>
    <mergeCell ref="C42:D42"/>
    <mergeCell ref="T42:U42"/>
    <mergeCell ref="C43:D43"/>
    <mergeCell ref="T43:U43"/>
    <mergeCell ref="C44:D44"/>
    <mergeCell ref="T44:U44"/>
    <mergeCell ref="F33:H33"/>
    <mergeCell ref="J33:L33"/>
    <mergeCell ref="F35:H35"/>
    <mergeCell ref="J35:L35"/>
    <mergeCell ref="W33:Y33"/>
    <mergeCell ref="AA33:AC33"/>
    <mergeCell ref="F34:H34"/>
    <mergeCell ref="J34:L34"/>
    <mergeCell ref="W34:Y34"/>
    <mergeCell ref="AA34:AC34"/>
    <mergeCell ref="F31:H31"/>
    <mergeCell ref="J31:L31"/>
    <mergeCell ref="W31:Y31"/>
    <mergeCell ref="AA31:AC31"/>
    <mergeCell ref="F32:H32"/>
    <mergeCell ref="J32:L32"/>
    <mergeCell ref="W32:Y32"/>
    <mergeCell ref="AA32:AC32"/>
    <mergeCell ref="C27:D27"/>
    <mergeCell ref="T27:U27"/>
    <mergeCell ref="B29:P29"/>
    <mergeCell ref="S29:AG29"/>
    <mergeCell ref="F30:L30"/>
    <mergeCell ref="W30:AC30"/>
    <mergeCell ref="C24:D24"/>
    <mergeCell ref="T24:U24"/>
    <mergeCell ref="C25:D25"/>
    <mergeCell ref="T25:U25"/>
    <mergeCell ref="C26:D26"/>
    <mergeCell ref="T26:U26"/>
    <mergeCell ref="F19:H19"/>
    <mergeCell ref="J19:L19"/>
    <mergeCell ref="W19:Y19"/>
    <mergeCell ref="AA19:AC19"/>
    <mergeCell ref="E21:F21"/>
    <mergeCell ref="B22:P22"/>
    <mergeCell ref="S22:AG22"/>
    <mergeCell ref="F17:H17"/>
    <mergeCell ref="J17:L17"/>
    <mergeCell ref="W17:Y17"/>
    <mergeCell ref="AA17:AC17"/>
    <mergeCell ref="F18:H18"/>
    <mergeCell ref="J18:L18"/>
    <mergeCell ref="W18:Y18"/>
    <mergeCell ref="AA18:AC18"/>
    <mergeCell ref="F16:H16"/>
    <mergeCell ref="J16:L16"/>
    <mergeCell ref="W16:Y16"/>
    <mergeCell ref="AA16:AC16"/>
    <mergeCell ref="B12:P12"/>
    <mergeCell ref="S12:AG12"/>
    <mergeCell ref="F13:L13"/>
    <mergeCell ref="W13:AC13"/>
    <mergeCell ref="F14:H14"/>
    <mergeCell ref="J14:L14"/>
    <mergeCell ref="W14:Y14"/>
    <mergeCell ref="AA14:AC14"/>
    <mergeCell ref="B5:P5"/>
    <mergeCell ref="S5:AG5"/>
    <mergeCell ref="T7:U7"/>
    <mergeCell ref="T8:U8"/>
    <mergeCell ref="T9:U9"/>
    <mergeCell ref="T10:U10"/>
    <mergeCell ref="F15:H15"/>
    <mergeCell ref="J15:L15"/>
    <mergeCell ref="W15:Y15"/>
    <mergeCell ref="AA15:AC15"/>
  </mergeCells>
  <dataValidations count="1">
    <dataValidation type="whole" allowBlank="1" showInputMessage="1" showErrorMessage="1" error="Es muss eine ganze Zahl im Bereich von 0 bis 99 eingegeben werden." sqref="M14:M19 AD65:AD70 AF90 AF48:AF53 O14:O19 AD48:AD53 AD14:AD19 O48:O53 O65:O70 M65:M70 M31:M36 AF31:AF36 M75:M82 O75:O82 AF75:AF78 AD75:AD78 AF83:AF84 AD83:AD84 AD90 M48:M53 M90 AD31:AD36 O31:O36 AF14:AF19 O90 AF65:AF70">
      <formula1>0</formula1>
      <formula2>99</formula2>
    </dataValidation>
  </dataValidations>
  <hyperlinks>
    <hyperlink ref="W2:AH3" r:id="rId1" display="© http://www.fussball-em-2016.com"/>
  </hyperlinks>
  <pageMargins left="0.70000000000000007" right="0.70000000000000007" top="0.78740157500000008" bottom="0.78740157500000008" header="0.30000000000000004" footer="0.30000000000000004"/>
  <pageSetup paperSize="9" fitToWidth="0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6"/>
  <sheetViews>
    <sheetView workbookViewId="0">
      <selection activeCell="A10" sqref="A10"/>
    </sheetView>
  </sheetViews>
  <sheetFormatPr baseColWidth="10" defaultColWidth="11.5" defaultRowHeight="15" x14ac:dyDescent="0.2"/>
  <cols>
    <col min="1" max="1" width="11.5" customWidth="1"/>
    <col min="2" max="2" width="15.83203125" customWidth="1"/>
    <col min="3" max="3" width="6.1640625" customWidth="1"/>
    <col min="4" max="4" width="5.5" customWidth="1"/>
    <col min="5" max="5" width="4.6640625" customWidth="1"/>
    <col min="6" max="6" width="5.5" customWidth="1"/>
    <col min="7" max="7" width="3.5" customWidth="1"/>
    <col min="8" max="8" width="3.6640625" customWidth="1"/>
    <col min="9" max="10" width="3.5" customWidth="1"/>
    <col min="11" max="11" width="7.33203125" customWidth="1"/>
    <col min="12" max="12" width="6.83203125" customWidth="1"/>
  </cols>
  <sheetData>
    <row r="1" spans="1:15" x14ac:dyDescent="0.2">
      <c r="A1" t="s">
        <v>53</v>
      </c>
    </row>
    <row r="4" spans="1:15" x14ac:dyDescent="0.2"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</row>
    <row r="5" spans="1:15" x14ac:dyDescent="0.2">
      <c r="A5" t="s">
        <v>55</v>
      </c>
      <c r="B5" s="30" t="s">
        <v>54</v>
      </c>
      <c r="C5" s="31" t="s">
        <v>3</v>
      </c>
      <c r="D5" s="31" t="s">
        <v>4</v>
      </c>
      <c r="E5" s="31" t="s">
        <v>5</v>
      </c>
      <c r="F5" s="32" t="s">
        <v>6</v>
      </c>
      <c r="G5" s="30"/>
      <c r="H5" s="33" t="s">
        <v>7</v>
      </c>
      <c r="I5" s="30"/>
      <c r="J5" s="33" t="s">
        <v>8</v>
      </c>
      <c r="K5" s="30" t="s">
        <v>9</v>
      </c>
      <c r="L5" s="30" t="s">
        <v>56</v>
      </c>
      <c r="M5" s="264" t="s">
        <v>239</v>
      </c>
      <c r="N5" s="264" t="s">
        <v>240</v>
      </c>
      <c r="O5" s="264" t="s">
        <v>241</v>
      </c>
    </row>
    <row r="6" spans="1:15" x14ac:dyDescent="0.2">
      <c r="A6">
        <f>IF(SUM(L$6:L$9)=4,1,IF(COUNTIF(L$6:L6,L6)&gt;1,L6+M6+N6+O6,L6))</f>
        <v>3</v>
      </c>
      <c r="B6" s="34" t="s">
        <v>16</v>
      </c>
      <c r="C6" s="31">
        <f>COUNT(Tabelle!M14,Tabelle!M16,Tabelle!O18)</f>
        <v>3</v>
      </c>
      <c r="D6" s="31">
        <f>SUM(Ränge2!B4:D4)</f>
        <v>1</v>
      </c>
      <c r="E6" s="31">
        <f>SUM(Ränge2!E4:G4)</f>
        <v>1</v>
      </c>
      <c r="F6" s="31" t="str">
        <f>CONCATENATE(TEXT(C6-(D6+E6),0),"         ")</f>
        <v xml:space="preserve">1         </v>
      </c>
      <c r="G6" s="30">
        <f>SUM(Tabelle!M14,Tabelle!M16,Tabelle!O18)</f>
        <v>3</v>
      </c>
      <c r="H6" s="33" t="s">
        <v>12</v>
      </c>
      <c r="I6" s="30">
        <f>SUM(Tabelle!O14,Tabelle!O16,Tabelle!M18)</f>
        <v>3</v>
      </c>
      <c r="J6" s="33">
        <f>G6-I6</f>
        <v>0</v>
      </c>
      <c r="K6" s="33">
        <f>3*D6+E6</f>
        <v>4</v>
      </c>
      <c r="L6" s="33">
        <f>Ränge2!AO4</f>
        <v>3</v>
      </c>
      <c r="M6">
        <f>IF(COUNTIF(L$6:L$9,1)&gt;1,IF(L6=1,COUNTIF($L$6:L6,1)-1,0),0)</f>
        <v>0</v>
      </c>
      <c r="N6">
        <f>IF(COUNTIF(L$6:L$9,2)&gt;1,IF(L6=2,COUNTIF($L$6:L6,2)-1,0),0)</f>
        <v>0</v>
      </c>
      <c r="O6">
        <f>IF(COUNTIF(L$6:L$9,3)&gt;1,IF(L6=3,COUNTIF($L6:L$6,3)-1,0),0)</f>
        <v>0</v>
      </c>
    </row>
    <row r="7" spans="1:15" x14ac:dyDescent="0.2">
      <c r="A7">
        <f>IF(SUM(L$6:L$9)=4,2,IF(COUNTIF(L$6:L7,L7)&gt;1,L7+M7+N7+O7,L7))</f>
        <v>4</v>
      </c>
      <c r="B7" s="34" t="s">
        <v>146</v>
      </c>
      <c r="C7" s="31">
        <f>COUNT(Tabelle!O14,Tabelle!O17,Tabelle!M19)</f>
        <v>3</v>
      </c>
      <c r="D7" s="31">
        <f>SUM(Ränge2!B5:D5)</f>
        <v>0</v>
      </c>
      <c r="E7" s="31">
        <f>SUM(Ränge2!E5:G5)</f>
        <v>0</v>
      </c>
      <c r="F7" s="31" t="str">
        <f>CONCATENATE(TEXT(C7-(D7+E7),0),"         ")</f>
        <v xml:space="preserve">3         </v>
      </c>
      <c r="G7" s="30">
        <f>SUM(Tabelle!O14,Tabelle!O17,Tabelle!M19)</f>
        <v>0</v>
      </c>
      <c r="H7" s="33" t="s">
        <v>12</v>
      </c>
      <c r="I7" s="30">
        <f>SUM(Tabelle!M14,Tabelle!M17,Tabelle!O19)</f>
        <v>5</v>
      </c>
      <c r="J7" s="33">
        <f>G7-I7</f>
        <v>-5</v>
      </c>
      <c r="K7" s="33">
        <f>3*D7+E7</f>
        <v>0</v>
      </c>
      <c r="L7" s="33">
        <f>Ränge2!AO5</f>
        <v>4</v>
      </c>
      <c r="M7">
        <f>IF(COUNTIF(L$6:L$9,1)&gt;1,IF(L7=1,COUNTIF($L$6:L7,1)-1,0),0)</f>
        <v>0</v>
      </c>
      <c r="N7">
        <f>IF(COUNTIF(L$6:L$9,2)&gt;1,IF(L7=2,COUNTIF($L$6:L7,2)-1,0),0)</f>
        <v>0</v>
      </c>
      <c r="O7">
        <f>IF(COUNTIF(L$6:L$9,3)&gt;1,IF(L7=3,COUNTIF($L$6:L7,3)-1,0),0)</f>
        <v>0</v>
      </c>
    </row>
    <row r="8" spans="1:15" x14ac:dyDescent="0.2">
      <c r="A8">
        <f>IF(SUM(L$6:L$9)=4,3,IF(COUNTIF(L$6:L8,L8)&gt;1,L8+M8+N8+O8,L8))</f>
        <v>2</v>
      </c>
      <c r="B8" s="34" t="s">
        <v>147</v>
      </c>
      <c r="C8" s="31">
        <f>COUNT(Tabelle!M15,Tabelle!O16,Tabelle!O19)</f>
        <v>3</v>
      </c>
      <c r="D8" s="31">
        <f>SUM(Ränge2!B6:D6)</f>
        <v>1</v>
      </c>
      <c r="E8" s="31">
        <f>SUM(Ränge2!E6:G6)</f>
        <v>1</v>
      </c>
      <c r="F8" s="31" t="str">
        <f>CONCATENATE(TEXT(C8-(D8+E8),0),"         ")</f>
        <v xml:space="preserve">1         </v>
      </c>
      <c r="G8" s="30">
        <f>SUM(Tabelle!M15,Tabelle!O16,Tabelle!O19)</f>
        <v>4</v>
      </c>
      <c r="H8" s="33" t="s">
        <v>12</v>
      </c>
      <c r="I8" s="30">
        <f>SUM(Tabelle!O15,Tabelle!M16,Tabelle!M19)</f>
        <v>3</v>
      </c>
      <c r="J8" s="33">
        <f>G8-I8</f>
        <v>1</v>
      </c>
      <c r="K8" s="33">
        <f>3*D8+E8</f>
        <v>4</v>
      </c>
      <c r="L8" s="33">
        <f>Ränge2!AO6</f>
        <v>2</v>
      </c>
      <c r="M8">
        <f>IF(COUNTIF(L$6:L$9,1)&gt;1,IF(L8=1,COUNTIF($L$6:L8,1)-1,0),0)</f>
        <v>0</v>
      </c>
      <c r="N8">
        <f>IF(COUNTIF(L$6:L$9,2)&gt;1,IF(L8=2,COUNTIF($L$6:L8,2)-1,0),0)</f>
        <v>0</v>
      </c>
      <c r="O8">
        <f>IF(COUNTIF(L$6:L$9,3)&gt;1,IF(L8=3,COUNTIF($L$6:L8,3)-1,0),0)</f>
        <v>0</v>
      </c>
    </row>
    <row r="9" spans="1:15" x14ac:dyDescent="0.2">
      <c r="A9">
        <f>IF(SUM(L$6:L$9)=4,4,IF(COUNTIF(L$6:L9,L9)&gt;1,L9+M9+N9+O9,L9))</f>
        <v>1</v>
      </c>
      <c r="B9" s="34" t="s">
        <v>148</v>
      </c>
      <c r="C9" s="31">
        <f>COUNT(Tabelle!O15,Tabelle!M17,Tabelle!M18)</f>
        <v>3</v>
      </c>
      <c r="D9" s="31">
        <f>SUM(Ränge2!B7:D7)</f>
        <v>3</v>
      </c>
      <c r="E9" s="31">
        <f>SUM(Ränge2!E7:G7)</f>
        <v>0</v>
      </c>
      <c r="F9" s="31" t="str">
        <f>CONCATENATE(TEXT(C9-(D9+E9),0),"         ")</f>
        <v xml:space="preserve">0         </v>
      </c>
      <c r="G9" s="30">
        <f>SUM(Tabelle!O15,Tabelle!M17,Tabelle!M18)</f>
        <v>6</v>
      </c>
      <c r="H9" s="33" t="s">
        <v>12</v>
      </c>
      <c r="I9" s="30">
        <f>SUM(Tabelle!M15,Tabelle!O17,Tabelle!O18)</f>
        <v>2</v>
      </c>
      <c r="J9" s="33">
        <f>G9-I9</f>
        <v>4</v>
      </c>
      <c r="K9" s="33">
        <f>3*D9+E9</f>
        <v>9</v>
      </c>
      <c r="L9" s="33">
        <f>Ränge2!AO7</f>
        <v>1</v>
      </c>
      <c r="M9">
        <f>IF(COUNTIF(L$6:L$9,1)&gt;1,IF(L9=1,COUNTIF($L$6:L9,1)-1,0),0)</f>
        <v>0</v>
      </c>
      <c r="N9">
        <f>IF(COUNTIF(L$6:L$9,2)&gt;1,IF(L9=2,COUNTIF($L$6:L9,2)-1,0),0)</f>
        <v>0</v>
      </c>
      <c r="O9">
        <f>IF(COUNTIF(L$6:L$9,3)&gt;1,IF(L9=3,COUNTIF($L$6:L9,3)-1,0),0)</f>
        <v>0</v>
      </c>
    </row>
    <row r="10" spans="1:15" x14ac:dyDescent="0.2"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</row>
    <row r="11" spans="1:15" x14ac:dyDescent="0.2">
      <c r="B11" s="34" t="s">
        <v>57</v>
      </c>
      <c r="C11" s="31" t="s">
        <v>3</v>
      </c>
      <c r="D11" s="31" t="s">
        <v>4</v>
      </c>
      <c r="E11" s="31" t="s">
        <v>5</v>
      </c>
      <c r="F11" s="32" t="s">
        <v>6</v>
      </c>
      <c r="G11" s="30"/>
      <c r="H11" s="33" t="s">
        <v>7</v>
      </c>
      <c r="I11" s="30"/>
      <c r="J11" s="33" t="s">
        <v>8</v>
      </c>
      <c r="K11" s="30" t="s">
        <v>9</v>
      </c>
      <c r="L11" s="30" t="s">
        <v>56</v>
      </c>
      <c r="M11" s="264" t="s">
        <v>239</v>
      </c>
      <c r="N11" s="264" t="s">
        <v>240</v>
      </c>
      <c r="O11" s="264" t="s">
        <v>241</v>
      </c>
    </row>
    <row r="12" spans="1:15" x14ac:dyDescent="0.2">
      <c r="A12">
        <f>IF(SUM(L$12:L$15)=4,1,IF(COUNTIF(L$12:L12,L12)&gt;1,L12+M12+N12+O12,L12))</f>
        <v>2</v>
      </c>
      <c r="B12" s="36" t="s">
        <v>38</v>
      </c>
      <c r="C12" s="33">
        <f>COUNT(Tabelle!AD15,Tabelle!AD16,Tabelle!AF18)</f>
        <v>3</v>
      </c>
      <c r="D12" s="31">
        <f>SUM(Ränge2!B10:D10)</f>
        <v>2</v>
      </c>
      <c r="E12" s="31">
        <f>SUM(Ränge2!E10:G10)</f>
        <v>0</v>
      </c>
      <c r="F12" s="31" t="str">
        <f>CONCATENATE(TEXT(C12-(D12+E12),0),"         ")</f>
        <v xml:space="preserve">1         </v>
      </c>
      <c r="G12" s="33">
        <f>SUM(Tabelle!AD15,Tabelle!AD16,Tabelle!AF18)</f>
        <v>3</v>
      </c>
      <c r="H12" s="33" t="s">
        <v>12</v>
      </c>
      <c r="I12" s="33">
        <f>SUM(Tabelle!AF15,Tabelle!AF16,Tabelle!AD18)</f>
        <v>2</v>
      </c>
      <c r="J12" s="33">
        <f>G12-I12</f>
        <v>1</v>
      </c>
      <c r="K12" s="33">
        <f>3*D12+E12</f>
        <v>6</v>
      </c>
      <c r="L12" s="33">
        <f>Ränge2!AO10</f>
        <v>2</v>
      </c>
      <c r="M12">
        <f>IF(COUNTIF(L$12:L$15,1)&gt;1,IF(L12=1,COUNTIF($L$12:L12,1)-1,0),0)</f>
        <v>0</v>
      </c>
      <c r="N12">
        <f>IF(COUNTIF(L$12:L$15,2)&gt;1,IF(L12=2,COUNTIF($L$12:L12,2)-1,0),0)</f>
        <v>0</v>
      </c>
      <c r="O12">
        <f>IF(COUNTIF(L$12:L$15,3)&gt;1,IF(L12=3,COUNTIF($L$12:L12,3)-1,0),0)</f>
        <v>0</v>
      </c>
    </row>
    <row r="13" spans="1:15" x14ac:dyDescent="0.2">
      <c r="A13">
        <f>IF(SUM(L$12:L$15)=4,2,IF(COUNTIF(L$12:L13,L13)&gt;1,L13+M13+N13+O13,L13))</f>
        <v>1</v>
      </c>
      <c r="B13" s="36" t="s">
        <v>28</v>
      </c>
      <c r="C13" s="33">
        <f>COUNT(Tabelle!AF15,Tabelle!AF17,Tabelle!AD19)</f>
        <v>3</v>
      </c>
      <c r="D13" s="31">
        <f>SUM(Ränge2!B11:D11)</f>
        <v>3</v>
      </c>
      <c r="E13" s="31">
        <f>SUM(Ränge2!E11:G11)</f>
        <v>0</v>
      </c>
      <c r="F13" s="31" t="str">
        <f>CONCATENATE(TEXT(C13-(D13+E13),0),"         ")</f>
        <v xml:space="preserve">0         </v>
      </c>
      <c r="G13" s="33">
        <f>SUM(Tabelle!AF15,Tabelle!AF17,Tabelle!AD19)</f>
        <v>7</v>
      </c>
      <c r="H13" s="33" t="s">
        <v>12</v>
      </c>
      <c r="I13" s="33">
        <f>SUM(Tabelle!AD15,Tabelle!AD17,Tabelle!AF19)</f>
        <v>1</v>
      </c>
      <c r="J13" s="33">
        <f>G13-I13</f>
        <v>6</v>
      </c>
      <c r="K13" s="33">
        <f>3*D13+E13</f>
        <v>9</v>
      </c>
      <c r="L13" s="33">
        <f>Ränge2!AO11</f>
        <v>1</v>
      </c>
      <c r="M13">
        <f>IF(COUNTIF(L$12:L$15,1)&gt;1,IF(L13=1,COUNTIF($L$12:L13,1)-1,0),0)</f>
        <v>0</v>
      </c>
      <c r="N13">
        <f>IF(COUNTIF(L$12:L$15,2)&gt;1,IF(L13=2,COUNTIF($L$12:L13,2)-1,0),0)</f>
        <v>0</v>
      </c>
      <c r="O13">
        <f>IF(COUNTIF(L$12:L$15,3)&gt;1,IF(L13=3,COUNTIF($L$12:L13,3)-1,0),0)</f>
        <v>0</v>
      </c>
    </row>
    <row r="14" spans="1:15" x14ac:dyDescent="0.2">
      <c r="A14">
        <f>IF(SUM(L$12:L$15)=4,3,IF(COUNTIF(L$12:L14,L14)&gt;1,L14+M14+N14+O14,L14))</f>
        <v>3</v>
      </c>
      <c r="B14" s="36" t="s">
        <v>149</v>
      </c>
      <c r="C14" s="33">
        <f>COUNT(Tabelle!AD14,Tabelle!AF16,Tabelle!AF19)</f>
        <v>3</v>
      </c>
      <c r="D14" s="31">
        <f>SUM(Ränge2!B12:D12)</f>
        <v>1</v>
      </c>
      <c r="E14" s="31">
        <f>SUM(Ränge2!E12:G12)</f>
        <v>0</v>
      </c>
      <c r="F14" s="31" t="str">
        <f>CONCATENATE(TEXT(C14-(D14+E14),0),"         ")</f>
        <v xml:space="preserve">2         </v>
      </c>
      <c r="G14" s="33">
        <f>SUM(Tabelle!AD14,Tabelle!AF16,Tabelle!AF19)</f>
        <v>1</v>
      </c>
      <c r="H14" s="33" t="s">
        <v>12</v>
      </c>
      <c r="I14" s="33">
        <f>SUM(Tabelle!AF14,Tabelle!AD16,Tabelle!AD19)</f>
        <v>3</v>
      </c>
      <c r="J14" s="33">
        <f>G14-I14</f>
        <v>-2</v>
      </c>
      <c r="K14" s="33">
        <f>3*D14+E14</f>
        <v>3</v>
      </c>
      <c r="L14" s="33">
        <f>Ränge2!AO12</f>
        <v>3</v>
      </c>
      <c r="M14">
        <f>IF(COUNTIF(L$12:L$15,1)&gt;1,IF(L14=1,COUNTIF($L$12:L14,1)-1,0),0)</f>
        <v>0</v>
      </c>
      <c r="N14">
        <f>IF(COUNTIF(L$12:L$15,2)&gt;1,IF(L14=2,COUNTIF($L$12:L14,2)-1,0),0)</f>
        <v>0</v>
      </c>
      <c r="O14">
        <f>IF(COUNTIF(L$12:L$15,3)&gt;1,IF(L14=3,COUNTIF($L$12:L14,3)-1,0),0)</f>
        <v>0</v>
      </c>
    </row>
    <row r="15" spans="1:15" x14ac:dyDescent="0.2">
      <c r="A15">
        <f>IF(SUM(L$12:L$15)=4,4,IF(COUNTIF(L$12:L15,L15)&gt;1,L15+M15+N15+O15,L15))</f>
        <v>4</v>
      </c>
      <c r="B15" s="36" t="s">
        <v>150</v>
      </c>
      <c r="C15" s="33">
        <f>COUNT(Tabelle!AF14,Tabelle!AD17,Tabelle!AD18)</f>
        <v>3</v>
      </c>
      <c r="D15" s="31">
        <f>SUM(Ränge2!B13:D13)</f>
        <v>0</v>
      </c>
      <c r="E15" s="31">
        <f>SUM(Ränge2!E13:G13)</f>
        <v>0</v>
      </c>
      <c r="F15" s="31" t="str">
        <f>CONCATENATE(TEXT(C15-(D15+E15),0),"         ")</f>
        <v xml:space="preserve">3         </v>
      </c>
      <c r="G15" s="33">
        <f>SUM(Tabelle!AF14,Tabelle!AD17,Tabelle!AD18)</f>
        <v>0</v>
      </c>
      <c r="H15" s="33" t="s">
        <v>12</v>
      </c>
      <c r="I15" s="33">
        <f>SUM(Tabelle!AD14,Tabelle!AF17,Tabelle!AF18)</f>
        <v>5</v>
      </c>
      <c r="J15" s="33">
        <f>G15-I15</f>
        <v>-5</v>
      </c>
      <c r="K15" s="33">
        <f>3*D15+E15</f>
        <v>0</v>
      </c>
      <c r="L15" s="33">
        <f>Ränge2!AO13</f>
        <v>4</v>
      </c>
      <c r="M15">
        <f>IF(COUNTIF(L$12:L$15,1)&gt;1,IF(L15=1,COUNTIF($L$12:L15,1)-1,0),0)</f>
        <v>0</v>
      </c>
      <c r="N15">
        <f>IF(COUNTIF(L$12:L$15,2)&gt;1,IF(L15=2,COUNTIF($L$12:L15,2)-1,0),0)</f>
        <v>0</v>
      </c>
      <c r="O15">
        <f>IF(COUNTIF(L$12:L$15,3)&gt;1,IF(L15=3,COUNTIF($L$12:L15,3)-1,0),0)</f>
        <v>0</v>
      </c>
    </row>
    <row r="16" spans="1:15" ht="18" customHeight="1" x14ac:dyDescent="0.2"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</row>
    <row r="17" spans="1:15" x14ac:dyDescent="0.2">
      <c r="B17" s="36" t="s">
        <v>58</v>
      </c>
      <c r="C17" s="31" t="s">
        <v>3</v>
      </c>
      <c r="D17" s="31" t="s">
        <v>4</v>
      </c>
      <c r="E17" s="31" t="s">
        <v>5</v>
      </c>
      <c r="F17" s="32" t="s">
        <v>6</v>
      </c>
      <c r="G17" s="30"/>
      <c r="H17" s="33" t="s">
        <v>7</v>
      </c>
      <c r="I17" s="30"/>
      <c r="J17" s="33" t="s">
        <v>8</v>
      </c>
      <c r="K17" s="30" t="s">
        <v>9</v>
      </c>
      <c r="L17" s="30" t="s">
        <v>56</v>
      </c>
      <c r="M17" s="264" t="s">
        <v>239</v>
      </c>
      <c r="N17" s="264" t="s">
        <v>240</v>
      </c>
      <c r="O17" s="264" t="s">
        <v>241</v>
      </c>
    </row>
    <row r="18" spans="1:15" x14ac:dyDescent="0.2">
      <c r="A18">
        <f>IF(SUM(L$18:L$21)=4,1,IF(COUNTIF(L$18:L18,L18)&gt;1,L18+M18+N18+O18,L18))</f>
        <v>1</v>
      </c>
      <c r="B18" s="37" t="s">
        <v>11</v>
      </c>
      <c r="C18" s="38">
        <f>COUNT(Tabelle!M31,Tabelle!M34,Tabelle!O35)</f>
        <v>3</v>
      </c>
      <c r="D18" s="39">
        <f>SUM(Ränge2!B16:D16)</f>
        <v>2</v>
      </c>
      <c r="E18" s="39">
        <f>SUM(Ränge2!E16:I16)</f>
        <v>1</v>
      </c>
      <c r="F18" s="31" t="str">
        <f>CONCATENATE(TEXT(C18-(D18+E18),0),"         ")</f>
        <v xml:space="preserve">0         </v>
      </c>
      <c r="G18" s="39">
        <f>SUM(Tabelle!M31,Tabelle!M34,Tabelle!O35)</f>
        <v>6</v>
      </c>
      <c r="H18" s="38" t="s">
        <v>12</v>
      </c>
      <c r="I18" s="39">
        <f>SUM(Tabelle!O31,Tabelle!O34,Tabelle!M35)</f>
        <v>2</v>
      </c>
      <c r="J18" s="39">
        <f>G18-I18</f>
        <v>4</v>
      </c>
      <c r="K18" s="39">
        <f>3*D18+E18</f>
        <v>7</v>
      </c>
      <c r="L18" s="39">
        <f>Ränge2!AO16</f>
        <v>1</v>
      </c>
      <c r="M18">
        <f>IF(COUNTIF(L$18:L$21,1)&gt;1,IF(L18=1,COUNTIF($L$18:L18,1)-1,0),0)</f>
        <v>0</v>
      </c>
      <c r="N18">
        <f>IF(COUNTIF(L$18:L$21,2)&gt;1,IF(L18=2,COUNTIF($L$18:L18,2)-1,0),0)</f>
        <v>0</v>
      </c>
      <c r="O18">
        <f>IF(COUNTIF(L$18:L$21,3)&gt;1,IF(L18=3,COUNTIF($L$18:L18,3)-1,0),0)</f>
        <v>0</v>
      </c>
    </row>
    <row r="19" spans="1:15" x14ac:dyDescent="0.2">
      <c r="A19">
        <f>IF(SUM(L$18:L$21)=4,2,IF(COUNTIF(L$18:L19,L19)&gt;1,L19+M19+N19+O19,L19))</f>
        <v>4</v>
      </c>
      <c r="B19" s="37" t="s">
        <v>151</v>
      </c>
      <c r="C19" s="38">
        <f>COUNT(Tabelle!O31,Tabelle!O33,Tabelle!M36)</f>
        <v>3</v>
      </c>
      <c r="D19" s="39">
        <f>SUM(Ränge2!B17:D17)</f>
        <v>0</v>
      </c>
      <c r="E19" s="39">
        <f>SUM(Ränge2!E17:I17)</f>
        <v>0</v>
      </c>
      <c r="F19" s="31" t="str">
        <f>CONCATENATE(TEXT(C19-(D19+E19),0),"         ")</f>
        <v xml:space="preserve">3         </v>
      </c>
      <c r="G19" s="39">
        <f>SUM(Tabelle!O31,Tabelle!O33,Tabelle!M36)</f>
        <v>1</v>
      </c>
      <c r="H19" s="38" t="s">
        <v>12</v>
      </c>
      <c r="I19" s="39">
        <f>SUM(Tabelle!M31,Tabelle!M33,Tabelle!O36)</f>
        <v>7</v>
      </c>
      <c r="J19" s="39">
        <f>G19-I19</f>
        <v>-6</v>
      </c>
      <c r="K19" s="39">
        <f>3*D19+E19</f>
        <v>0</v>
      </c>
      <c r="L19" s="39">
        <f>Ränge2!AO17</f>
        <v>4</v>
      </c>
      <c r="M19">
        <f>IF(COUNTIF(L$18:L$21,1)&gt;1,IF(L19=1,COUNTIF($L$18:L19,1)-1,0),0)</f>
        <v>0</v>
      </c>
      <c r="N19">
        <f>IF(COUNTIF(L$18:L$21,2)&gt;1,IF(L19=2,COUNTIF($L$18:L19,2)-1,0),0)</f>
        <v>0</v>
      </c>
      <c r="O19">
        <f>IF(COUNTIF(L$18:L$21,3)&gt;1,IF(L19=3,COUNTIF($L$18:L19,3)-1,0),0)</f>
        <v>0</v>
      </c>
    </row>
    <row r="20" spans="1:15" x14ac:dyDescent="0.2">
      <c r="A20">
        <f>IF(SUM(L$18:L$21)=4,3,IF(COUNTIF(L$18:L20,L20)&gt;1,L20+M20+N20+O20,L20))</f>
        <v>3</v>
      </c>
      <c r="B20" s="37" t="s">
        <v>152</v>
      </c>
      <c r="C20" s="38">
        <f>COUNT(Tabelle!M32,Tabelle!O34,Tabelle!O36)</f>
        <v>3</v>
      </c>
      <c r="D20" s="39">
        <f>SUM(Ränge2!B18:D18)</f>
        <v>1</v>
      </c>
      <c r="E20" s="39">
        <f>SUM(Ränge2!E18:I18)</f>
        <v>0</v>
      </c>
      <c r="F20" s="31" t="str">
        <f>CONCATENATE(TEXT(C20-(D20+E20),0),"         ")</f>
        <v xml:space="preserve">2         </v>
      </c>
      <c r="G20" s="39">
        <f>SUM(Tabelle!M32,Tabelle!O34,Tabelle!O36)</f>
        <v>3</v>
      </c>
      <c r="H20" s="38" t="s">
        <v>12</v>
      </c>
      <c r="I20" s="39">
        <f>SUM(Tabelle!O32,Tabelle!M34,Tabelle!M36)</f>
        <v>5</v>
      </c>
      <c r="J20" s="39">
        <f>G20-I20</f>
        <v>-2</v>
      </c>
      <c r="K20" s="39">
        <f>3*D20+E20</f>
        <v>3</v>
      </c>
      <c r="L20" s="39">
        <f>Ränge2!AO18</f>
        <v>3</v>
      </c>
      <c r="M20">
        <f>IF(COUNTIF(L$18:L$21,1)&gt;1,IF(L20=1,COUNTIF($L$18:L20,1)-1,0),0)</f>
        <v>0</v>
      </c>
      <c r="N20">
        <f>IF(COUNTIF(L$18:L$21,2)&gt;1,IF(L20=2,COUNTIF($L$18:L20,2)-1,0),0)</f>
        <v>0</v>
      </c>
      <c r="O20">
        <f>IF(COUNTIF(L$18:L$21,3)&gt;1,IF(L20=3,COUNTIF($L$18:L20,3)-1,0),0)</f>
        <v>0</v>
      </c>
    </row>
    <row r="21" spans="1:15" x14ac:dyDescent="0.2">
      <c r="A21">
        <f>IF(SUM(L$18:L$21)=4,4,IF(COUNTIF(L$18:L21,L21)&gt;1,L21+M21+N21+O21,L21))</f>
        <v>2</v>
      </c>
      <c r="B21" s="37" t="s">
        <v>153</v>
      </c>
      <c r="C21" s="38">
        <f>COUNT(Tabelle!O32,Tabelle!M33,Tabelle!M35)</f>
        <v>3</v>
      </c>
      <c r="D21" s="39">
        <f>SUM(Ränge2!B19:D19)</f>
        <v>2</v>
      </c>
      <c r="E21" s="39">
        <f>SUM(Ränge2!E19:I19)</f>
        <v>1</v>
      </c>
      <c r="F21" s="31" t="str">
        <f>CONCATENATE(TEXT(C21-(D21+E21),0),"         ")</f>
        <v xml:space="preserve">0         </v>
      </c>
      <c r="G21" s="39">
        <f>SUM(Tabelle!O32,Tabelle!M33,Tabelle!M35)</f>
        <v>5</v>
      </c>
      <c r="H21" s="38" t="s">
        <v>12</v>
      </c>
      <c r="I21" s="39">
        <f>SUM(Tabelle!M32,Tabelle!O33,Tabelle!O35)</f>
        <v>1</v>
      </c>
      <c r="J21" s="39">
        <f>G21-I21</f>
        <v>4</v>
      </c>
      <c r="K21" s="39">
        <f>3*D21+E21</f>
        <v>7</v>
      </c>
      <c r="L21" s="39">
        <f>Ränge2!AO19</f>
        <v>2</v>
      </c>
      <c r="M21">
        <f>IF(COUNTIF(L$18:L$21,1)&gt;1,IF(L21=1,COUNTIF($L$18:L21,1)-1,0),0)</f>
        <v>0</v>
      </c>
      <c r="N21">
        <f>IF(COUNTIF(L$18:L$21,2)&gt;1,IF(L21=2,COUNTIF($L$18:L21,2)-1,0),0)</f>
        <v>0</v>
      </c>
      <c r="O21">
        <f>IF(COUNTIF(L$18:L$21,3)&gt;1,IF(L21=3,COUNTIF($L$18:L21,3)-1,0),0)</f>
        <v>0</v>
      </c>
    </row>
    <row r="22" spans="1:15" x14ac:dyDescent="0.2"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</row>
    <row r="23" spans="1:15" x14ac:dyDescent="0.2">
      <c r="B23" s="37" t="s">
        <v>59</v>
      </c>
      <c r="C23" s="31" t="s">
        <v>3</v>
      </c>
      <c r="D23" s="31" t="s">
        <v>4</v>
      </c>
      <c r="E23" s="31" t="s">
        <v>5</v>
      </c>
      <c r="F23" s="32" t="s">
        <v>6</v>
      </c>
      <c r="G23" s="30"/>
      <c r="H23" s="33" t="s">
        <v>7</v>
      </c>
      <c r="I23" s="30"/>
      <c r="J23" s="33" t="s">
        <v>8</v>
      </c>
      <c r="K23" s="30" t="s">
        <v>9</v>
      </c>
      <c r="L23" s="30" t="s">
        <v>56</v>
      </c>
      <c r="M23" s="264" t="s">
        <v>239</v>
      </c>
      <c r="N23" s="264" t="s">
        <v>240</v>
      </c>
      <c r="O23" s="264" t="s">
        <v>241</v>
      </c>
    </row>
    <row r="24" spans="1:15" x14ac:dyDescent="0.2">
      <c r="A24">
        <f>IF(SUM(L$24:L$27)=4,1,IF(COUNTIF(L$24:L24,L24)&gt;1,L24+M24+N24+O24,L24))</f>
        <v>1</v>
      </c>
      <c r="B24" s="37" t="s">
        <v>154</v>
      </c>
      <c r="C24" s="37">
        <f>COUNT(Tabelle!AD31,Tabelle!AD33,Tabelle!AF35)</f>
        <v>3</v>
      </c>
      <c r="D24" s="35">
        <f>SUM(Ränge2!B22:D22)</f>
        <v>3</v>
      </c>
      <c r="E24" s="35">
        <f>SUM(Ränge2!E22:I22)</f>
        <v>0</v>
      </c>
      <c r="F24" s="31" t="str">
        <f>CONCATENATE(TEXT(C24-(D24+E24),0),"         ")</f>
        <v xml:space="preserve">0         </v>
      </c>
      <c r="G24" s="35">
        <f>SUM(Tabelle!AD31,Tabelle!AD33,Tabelle!AF35)</f>
        <v>5</v>
      </c>
      <c r="H24" s="38" t="s">
        <v>12</v>
      </c>
      <c r="I24" s="35">
        <f>SUM(Tabelle!AF31,Tabelle!AF33,Tabelle!AD35)</f>
        <v>2</v>
      </c>
      <c r="J24" s="35">
        <f>G24-I24</f>
        <v>3</v>
      </c>
      <c r="K24" s="39">
        <f>3*D24+E24</f>
        <v>9</v>
      </c>
      <c r="L24" s="39">
        <f>Ränge2!AO22</f>
        <v>1</v>
      </c>
      <c r="M24">
        <f>IF(COUNTIF(L$24:L$27,1)&gt;1,IF(L24=1,COUNTIF($L$24:L24,1)-1,0),0)</f>
        <v>0</v>
      </c>
      <c r="N24">
        <f>IF(COUNTIF(L$24:L$27,2)&gt;1,IF(L24=2,COUNTIF($L$24:L24,2)-1,0),0)</f>
        <v>0</v>
      </c>
      <c r="O24">
        <f>IF(COUNTIF(L$24:L$27,3)&gt;1,IF(L24=3,COUNTIF($L$24:L24,3)-1,0),0)</f>
        <v>0</v>
      </c>
    </row>
    <row r="25" spans="1:15" x14ac:dyDescent="0.2">
      <c r="A25">
        <f>IF(SUM(L$24:L$27)=4,2,IF(COUNTIF(L$24:L25,L25)&gt;1,L25+M25+N25+O25,L25))</f>
        <v>4</v>
      </c>
      <c r="B25" s="37" t="s">
        <v>36</v>
      </c>
      <c r="C25" s="37">
        <f>COUNT(Tabelle!AF31,Tabelle!AF34,Tabelle!AD36)</f>
        <v>3</v>
      </c>
      <c r="D25" s="35">
        <f>SUM(Ränge2!B23:D23)</f>
        <v>0</v>
      </c>
      <c r="E25" s="35">
        <f>SUM(Ränge2!E23:I23)</f>
        <v>1</v>
      </c>
      <c r="F25" s="31" t="str">
        <f>CONCATENATE(TEXT(C25-(D25+E25),0),"         ")</f>
        <v xml:space="preserve">2         </v>
      </c>
      <c r="G25" s="35">
        <f>SUM(Tabelle!AF31,Tabelle!AF34,Tabelle!AD36)</f>
        <v>2</v>
      </c>
      <c r="H25" s="38" t="s">
        <v>12</v>
      </c>
      <c r="I25" s="35">
        <f>SUM(Tabelle!AD31,Tabelle!AD34,Tabelle!AF36)</f>
        <v>4</v>
      </c>
      <c r="J25" s="35">
        <f>G25-I25</f>
        <v>-2</v>
      </c>
      <c r="K25" s="39">
        <f>3*D25+E25</f>
        <v>1</v>
      </c>
      <c r="L25" s="39">
        <f>Ränge2!AO23</f>
        <v>4</v>
      </c>
      <c r="M25">
        <f>IF(COUNTIF(L$24:L$27,1)&gt;1,IF(L25=1,COUNTIF($L$24:L25,1)-1,0),0)</f>
        <v>0</v>
      </c>
      <c r="N25">
        <f>IF(COUNTIF(L$24:L$27,2)&gt;1,IF(L25=2,COUNTIF($L$24:L25,2)-1,0),0)</f>
        <v>0</v>
      </c>
      <c r="O25">
        <f>IF(COUNTIF(L$24:L$27,3)&gt;1,IF(L25=3,COUNTIF($L$24:L25,3)-1,0),0)</f>
        <v>0</v>
      </c>
    </row>
    <row r="26" spans="1:15" x14ac:dyDescent="0.2">
      <c r="A26">
        <f>IF(SUM(L$24:L$27)=4,3,IF(COUNTIF(L$24:L26,L26)&gt;1,L26+M26+N26+O26,L26))</f>
        <v>2</v>
      </c>
      <c r="B26" s="37" t="s">
        <v>30</v>
      </c>
      <c r="C26" s="37">
        <f>COUNT(Tabelle!AD32,Tabelle!AF33,Tabelle!AF36)</f>
        <v>3</v>
      </c>
      <c r="D26" s="35">
        <f>SUM(Ränge2!B24:D24)</f>
        <v>1</v>
      </c>
      <c r="E26" s="35">
        <f>SUM(Ränge2!E24:I24)</f>
        <v>1</v>
      </c>
      <c r="F26" s="31" t="str">
        <f>CONCATENATE(TEXT(C26-(D26+E26),0),"         ")</f>
        <v xml:space="preserve">1         </v>
      </c>
      <c r="G26" s="35">
        <f>SUM(Tabelle!AD32,Tabelle!AF33,Tabelle!AF36)</f>
        <v>4</v>
      </c>
      <c r="H26" s="38" t="s">
        <v>12</v>
      </c>
      <c r="I26" s="35">
        <f>SUM(Tabelle!AF32,Tabelle!AD33,Tabelle!AD36)</f>
        <v>4</v>
      </c>
      <c r="J26" s="35">
        <f>G26-I26</f>
        <v>0</v>
      </c>
      <c r="K26" s="39">
        <f>3*D26+E26</f>
        <v>4</v>
      </c>
      <c r="L26" s="39">
        <f>Ränge2!AO24</f>
        <v>2</v>
      </c>
      <c r="M26">
        <f>IF(COUNTIF(L$24:L$27,1)&gt;1,IF(L26=1,COUNTIF($L$24:L26,1)-1,0),0)</f>
        <v>0</v>
      </c>
      <c r="N26">
        <f>IF(COUNTIF(L$24:L$27,2)&gt;1,IF(L26=2,COUNTIF($L$24:L26,2)-1,0),0)</f>
        <v>0</v>
      </c>
      <c r="O26">
        <f>IF(COUNTIF(L$24:L$27,3)&gt;1,IF(L26=3,COUNTIF($L$24:L26,3)-1,0),0)</f>
        <v>0</v>
      </c>
    </row>
    <row r="27" spans="1:15" x14ac:dyDescent="0.2">
      <c r="A27">
        <f>IF(SUM(L$24:L$27)=4,4,IF(COUNTIF(L$24:L27,L27)&gt;1,L27+M27+N27+O27,L27))</f>
        <v>3</v>
      </c>
      <c r="B27" s="37" t="s">
        <v>155</v>
      </c>
      <c r="C27" s="37">
        <f>COUNT(Tabelle!AF32,Tabelle!AD34,Tabelle!AD35)</f>
        <v>3</v>
      </c>
      <c r="D27" s="35">
        <f>SUM(Ränge2!B25:D25)</f>
        <v>0</v>
      </c>
      <c r="E27" s="35">
        <f>SUM(Ränge2!E25:I25)</f>
        <v>2</v>
      </c>
      <c r="F27" s="31" t="str">
        <f>CONCATENATE(TEXT(C27-(D27+E27),0),"         ")</f>
        <v xml:space="preserve">1         </v>
      </c>
      <c r="G27" s="35">
        <f>SUM(Tabelle!AF32,Tabelle!AD34,Tabelle!AD35)</f>
        <v>3</v>
      </c>
      <c r="H27" s="38" t="s">
        <v>12</v>
      </c>
      <c r="I27" s="35">
        <f>SUM(Tabelle!AD32,Tabelle!AF34,Tabelle!AF35)</f>
        <v>4</v>
      </c>
      <c r="J27" s="35">
        <f>G27-I27</f>
        <v>-1</v>
      </c>
      <c r="K27" s="39">
        <f>3*D27+E27</f>
        <v>2</v>
      </c>
      <c r="L27" s="39">
        <f>Ränge2!AO25</f>
        <v>3</v>
      </c>
      <c r="M27">
        <f>IF(COUNTIF(L$24:L$27,1)&gt;1,IF(L27=1,COUNTIF($L$24:L27,1)-1,0),0)</f>
        <v>0</v>
      </c>
      <c r="N27">
        <f>IF(COUNTIF(L$24:L$27,2)&gt;1,IF(L27=2,COUNTIF($L$24:L27,2)-1,0),0)</f>
        <v>0</v>
      </c>
      <c r="O27">
        <f>IF(COUNTIF(L$24:L$27,3)&gt;1,IF(L27=3,COUNTIF($L$24:L27,3)-1,0),0)</f>
        <v>0</v>
      </c>
    </row>
    <row r="28" spans="1:15" x14ac:dyDescent="0.2"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</row>
    <row r="29" spans="1:15" x14ac:dyDescent="0.2">
      <c r="B29" s="37" t="s">
        <v>60</v>
      </c>
      <c r="C29" s="31" t="s">
        <v>3</v>
      </c>
      <c r="D29" s="31" t="s">
        <v>4</v>
      </c>
      <c r="E29" s="31" t="s">
        <v>5</v>
      </c>
      <c r="F29" s="32" t="s">
        <v>6</v>
      </c>
      <c r="G29" s="30"/>
      <c r="H29" s="33" t="s">
        <v>7</v>
      </c>
      <c r="I29" s="30"/>
      <c r="J29" s="33" t="s">
        <v>8</v>
      </c>
      <c r="K29" s="30" t="s">
        <v>9</v>
      </c>
      <c r="L29" s="30" t="s">
        <v>56</v>
      </c>
      <c r="M29" s="264" t="s">
        <v>239</v>
      </c>
      <c r="N29" s="264" t="s">
        <v>240</v>
      </c>
      <c r="O29" s="264" t="s">
        <v>241</v>
      </c>
    </row>
    <row r="30" spans="1:15" x14ac:dyDescent="0.2">
      <c r="A30">
        <f>IF(SUM(L$30:L$33)=4,1,IF(COUNTIF(L$30:L30,L30)&gt;1,L30+M30+N30+O30,L30))</f>
        <v>1</v>
      </c>
      <c r="B30" s="40" t="s">
        <v>156</v>
      </c>
      <c r="C30" s="41">
        <f>COUNT(Tabelle!M49,Tabelle!M50,Tabelle!O52)</f>
        <v>3</v>
      </c>
      <c r="D30" s="41">
        <f>SUM(Ränge2!B28:D28)</f>
        <v>3</v>
      </c>
      <c r="E30" s="41">
        <f>SUM(Ränge2!E28:I28)</f>
        <v>0</v>
      </c>
      <c r="F30" s="31" t="str">
        <f>CONCATENATE(TEXT(C30-(D30+E30),0),"         ")</f>
        <v xml:space="preserve">0         </v>
      </c>
      <c r="G30" s="41">
        <f>SUM(Tabelle!M49,Tabelle!M50,Tabelle!O52)</f>
        <v>6</v>
      </c>
      <c r="H30" s="42" t="s">
        <v>12</v>
      </c>
      <c r="I30" s="41">
        <f>SUM(Tabelle!O49,Tabelle!O50,Tabelle!M52)</f>
        <v>2</v>
      </c>
      <c r="J30" s="41">
        <f>G30-I30</f>
        <v>4</v>
      </c>
      <c r="K30" s="42">
        <f>3*D30+E30</f>
        <v>9</v>
      </c>
      <c r="L30" s="42">
        <f>Ränge2!AO28</f>
        <v>1</v>
      </c>
      <c r="M30">
        <f>IF(COUNTIF(L$30:L$33,1)&gt;1,IF(L30=1,COUNTIF($L$30:L30,1)-1,0),0)</f>
        <v>0</v>
      </c>
      <c r="N30">
        <f>IF(COUNTIF(L$30:L$33,2)&gt;1,IF(L30=2,COUNTIF($L$30:L30,2)-1,0),0)</f>
        <v>0</v>
      </c>
      <c r="O30">
        <f>IF(COUNTIF(L$30:L$33,3)&gt;1,IF(L30=3,COUNTIF($L$30:L30,3)-1,0),0)</f>
        <v>0</v>
      </c>
    </row>
    <row r="31" spans="1:15" x14ac:dyDescent="0.2">
      <c r="A31">
        <f>IF(SUM(L$30:L$33)=4,2,IF(COUNTIF(L$30:L31,L31)&gt;1,L31+M31+N31+O31,L31))</f>
        <v>2</v>
      </c>
      <c r="B31" s="40" t="s">
        <v>15</v>
      </c>
      <c r="C31" s="41">
        <f>COUNT(Tabelle!O49,Tabelle!O51,Tabelle!M53)</f>
        <v>3</v>
      </c>
      <c r="D31" s="41">
        <f>SUM(Ränge2!B29:D29)</f>
        <v>1</v>
      </c>
      <c r="E31" s="41">
        <f>SUM(Ränge2!E29:I29)</f>
        <v>1</v>
      </c>
      <c r="F31" s="31" t="str">
        <f>CONCATENATE(TEXT(C31-(D31+E31),0),"         ")</f>
        <v xml:space="preserve">1         </v>
      </c>
      <c r="G31" s="41">
        <f>SUM(Tabelle!O49,Tabelle!O51,Tabelle!M53)</f>
        <v>4</v>
      </c>
      <c r="H31" s="42" t="s">
        <v>12</v>
      </c>
      <c r="I31" s="41">
        <f>SUM(Tabelle!M49,Tabelle!M51,Tabelle!O53)</f>
        <v>4</v>
      </c>
      <c r="J31" s="41">
        <f>G31-I31</f>
        <v>0</v>
      </c>
      <c r="K31" s="42">
        <f>3*D31+E31</f>
        <v>4</v>
      </c>
      <c r="L31" s="42">
        <f>Ränge2!AO29</f>
        <v>2</v>
      </c>
      <c r="M31">
        <f>IF(COUNTIF(L$30:L$33,1)&gt;1,IF(L31=1,COUNTIF($L$30:L31,1)-1,0),0)</f>
        <v>0</v>
      </c>
      <c r="N31">
        <f>IF(COUNTIF(L$30:L$33,2)&gt;1,IF(L31=2,COUNTIF($L$30:L31,2)-1,0),0)</f>
        <v>0</v>
      </c>
      <c r="O31">
        <f>IF(COUNTIF(L$30:L$33,3)&gt;1,IF(L31=3,COUNTIF($L$30:L31,3)-1,0),0)</f>
        <v>0</v>
      </c>
    </row>
    <row r="32" spans="1:15" x14ac:dyDescent="0.2">
      <c r="A32">
        <f>IF(SUM(L$30:L$33)=4,3,IF(COUNTIF(L$30:L32,L32)&gt;1,L32+M32+N32+O32,L32))</f>
        <v>3</v>
      </c>
      <c r="B32" s="40" t="s">
        <v>157</v>
      </c>
      <c r="C32" s="41">
        <f>COUNT(Tabelle!M48,Tabelle!O50,Tabelle!O53)</f>
        <v>3</v>
      </c>
      <c r="D32" s="41">
        <f>SUM(Ränge2!B30:D30)</f>
        <v>1</v>
      </c>
      <c r="E32" s="41">
        <f>SUM(Ränge2!E30:I30)</f>
        <v>0</v>
      </c>
      <c r="F32" s="31" t="str">
        <f>CONCATENATE(TEXT(C32-(D32+E32),0),"         ")</f>
        <v xml:space="preserve">2         </v>
      </c>
      <c r="G32" s="41">
        <f>SUM(Tabelle!M48,Tabelle!O50,Tabelle!O53)</f>
        <v>3</v>
      </c>
      <c r="H32" s="42" t="s">
        <v>12</v>
      </c>
      <c r="I32" s="41">
        <f>SUM(Tabelle!O48,Tabelle!M50,Tabelle!M53)</f>
        <v>4</v>
      </c>
      <c r="J32" s="41">
        <f>G32-I32</f>
        <v>-1</v>
      </c>
      <c r="K32" s="42">
        <f>3*D32+E32</f>
        <v>3</v>
      </c>
      <c r="L32" s="42">
        <f>Ränge2!AO30</f>
        <v>3</v>
      </c>
      <c r="M32">
        <f>IF(COUNTIF(L$30:L$33,1)&gt;1,IF(L32=1,COUNTIF($L$30:L32,1)-1,0),0)</f>
        <v>0</v>
      </c>
      <c r="N32">
        <f>IF(COUNTIF(L$30:L$33,2)&gt;1,IF(L32=2,COUNTIF($L$30:L32,2)-1,0),0)</f>
        <v>0</v>
      </c>
      <c r="O32">
        <f>IF(COUNTIF(L$30:L$33,3)&gt;1,IF(L32=3,COUNTIF($L$30:L32,3)-1,0),0)</f>
        <v>0</v>
      </c>
    </row>
    <row r="33" spans="1:15" x14ac:dyDescent="0.2">
      <c r="A33">
        <f>IF(SUM(L$30:L$33)=4,4,IF(COUNTIF(L$30:L33,L33)&gt;1,L33+M33+N33+O33,L33))</f>
        <v>4</v>
      </c>
      <c r="B33" s="40" t="s">
        <v>158</v>
      </c>
      <c r="C33" s="41">
        <f>COUNT(Tabelle!O48,Tabelle!M51,Tabelle!M52)</f>
        <v>3</v>
      </c>
      <c r="D33" s="41">
        <f>SUM(Ränge2!B31:D31)</f>
        <v>0</v>
      </c>
      <c r="E33" s="41">
        <f>SUM(Ränge2!E31:I31)</f>
        <v>1</v>
      </c>
      <c r="F33" s="31" t="str">
        <f>CONCATENATE(TEXT(C33-(D33+E33),0),"         ")</f>
        <v xml:space="preserve">2         </v>
      </c>
      <c r="G33" s="41">
        <f>SUM(Tabelle!O48,Tabelle!M51,Tabelle!M52)</f>
        <v>1</v>
      </c>
      <c r="H33" s="42" t="s">
        <v>12</v>
      </c>
      <c r="I33" s="41">
        <f>SUM(Tabelle!M48,Tabelle!O51,Tabelle!O52)</f>
        <v>4</v>
      </c>
      <c r="J33" s="41">
        <f>G33-I33</f>
        <v>-3</v>
      </c>
      <c r="K33" s="42">
        <f>3*D33+E33</f>
        <v>1</v>
      </c>
      <c r="L33" s="42">
        <f>Ränge2!AO31</f>
        <v>4</v>
      </c>
      <c r="M33">
        <f>IF(COUNTIF(L$30:L$33,1)&gt;1,IF(L33=1,COUNTIF($L$30:L33,1)-1,0),0)</f>
        <v>0</v>
      </c>
      <c r="N33">
        <f>IF(COUNTIF(L$30:L$33,2)&gt;1,IF(L33=2,COUNTIF($L$30:L33,2)-1,0),0)</f>
        <v>0</v>
      </c>
      <c r="O33">
        <f>IF(COUNTIF(L$30:L$33,3)&gt;1,IF(L33=3,COUNTIF($L$30:L33,3)-1,0),0)</f>
        <v>0</v>
      </c>
    </row>
    <row r="34" spans="1:15" x14ac:dyDescent="0.2"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</row>
    <row r="35" spans="1:15" x14ac:dyDescent="0.2">
      <c r="B35" s="40" t="s">
        <v>61</v>
      </c>
      <c r="C35" s="31" t="s">
        <v>3</v>
      </c>
      <c r="D35" s="31" t="s">
        <v>4</v>
      </c>
      <c r="E35" s="31" t="s">
        <v>5</v>
      </c>
      <c r="F35" s="32" t="s">
        <v>6</v>
      </c>
      <c r="G35" s="30"/>
      <c r="H35" s="33" t="s">
        <v>7</v>
      </c>
      <c r="I35" s="30"/>
      <c r="J35" s="33" t="s">
        <v>8</v>
      </c>
      <c r="K35" s="30" t="s">
        <v>9</v>
      </c>
      <c r="L35" s="30" t="s">
        <v>56</v>
      </c>
      <c r="M35" s="264" t="s">
        <v>239</v>
      </c>
      <c r="N35" s="264" t="s">
        <v>240</v>
      </c>
      <c r="O35" s="264" t="s">
        <v>241</v>
      </c>
    </row>
    <row r="36" spans="1:15" x14ac:dyDescent="0.2">
      <c r="A36">
        <f>IF(SUM(L$36:L$39)=4,1,IF(COUNTIF(L$36:L36,L36)&gt;1,L36+M36+N36+O36,L36))</f>
        <v>1</v>
      </c>
      <c r="B36" s="40" t="s">
        <v>27</v>
      </c>
      <c r="C36" s="40">
        <f>COUNT(Tabelle!AD48,Tabelle!AD51,Tabelle!AF52)</f>
        <v>3</v>
      </c>
      <c r="D36" s="41">
        <f>SUM(Ränge2!B34:D34)</f>
        <v>3</v>
      </c>
      <c r="E36" s="41">
        <f>SUM(Ränge2!E34:I34)</f>
        <v>0</v>
      </c>
      <c r="F36" s="31" t="str">
        <f>CONCATENATE(TEXT(C36-(D36+E36),0),"         ")</f>
        <v xml:space="preserve">0         </v>
      </c>
      <c r="G36" s="41">
        <f>SUM(Tabelle!AD48,Tabelle!AD51,Tabelle!AF52)</f>
        <v>4</v>
      </c>
      <c r="H36" s="42" t="s">
        <v>12</v>
      </c>
      <c r="I36" s="41">
        <f>SUM(Tabelle!AF48,Tabelle!AF51,Tabelle!AD52)</f>
        <v>0</v>
      </c>
      <c r="J36" s="41">
        <f>G36-I36</f>
        <v>4</v>
      </c>
      <c r="K36" s="42">
        <f>3*D36+E36</f>
        <v>9</v>
      </c>
      <c r="L36" s="42">
        <f>Ränge2!AO34</f>
        <v>1</v>
      </c>
      <c r="M36">
        <f>IF(COUNTIF(L$36:L$39,1)&gt;1,IF(L36=1,COUNTIF($L$36:L36,1)-1,0),0)</f>
        <v>0</v>
      </c>
      <c r="N36">
        <f>IF(COUNTIF(L$36:L$39,2)&gt;1,IF(L36=2,COUNTIF($L$36:L36,2)-1,0),0)</f>
        <v>0</v>
      </c>
      <c r="O36">
        <f>IF(COUNTIF(L$36:L$39,3)&gt;1,IF(L36=3,COUNTIF($L$36:L36,3)-1,0),0)</f>
        <v>0</v>
      </c>
    </row>
    <row r="37" spans="1:15" x14ac:dyDescent="0.2">
      <c r="A37">
        <f>IF(SUM(L$36:L$39)=4,2,IF(COUNTIF(L$36:L37,L37)&gt;1,L37+M37+N37+O37,L37))</f>
        <v>3</v>
      </c>
      <c r="B37" s="40" t="s">
        <v>159</v>
      </c>
      <c r="C37" s="40">
        <f>COUNT(Tabelle!AF48,Tabelle!AF50,Tabelle!AD53)</f>
        <v>3</v>
      </c>
      <c r="D37" s="41">
        <f>SUM(Ränge2!B35:D35)</f>
        <v>1</v>
      </c>
      <c r="E37" s="41">
        <f>SUM(Ränge2!E35:I35)</f>
        <v>0</v>
      </c>
      <c r="F37" s="31" t="str">
        <f>CONCATENATE(TEXT(C37-(D37+E37),0),"         ")</f>
        <v xml:space="preserve">2         </v>
      </c>
      <c r="G37" s="41">
        <f>SUM(Tabelle!AF48,Tabelle!AF50,Tabelle!AD53)</f>
        <v>1</v>
      </c>
      <c r="H37" s="42" t="s">
        <v>12</v>
      </c>
      <c r="I37" s="41">
        <f>SUM(Tabelle!AD48,Tabelle!AD50,Tabelle!AF53)</f>
        <v>2</v>
      </c>
      <c r="J37" s="41">
        <f>G37-I37</f>
        <v>-1</v>
      </c>
      <c r="K37" s="42">
        <f>3*D37+E37</f>
        <v>3</v>
      </c>
      <c r="L37" s="42">
        <f>Ränge2!AO35</f>
        <v>3</v>
      </c>
      <c r="M37">
        <f>IF(COUNTIF(L$36:L$39,1)&gt;1,IF(L37=1,COUNTIF($L$36:L37,1)-1,0),0)</f>
        <v>0</v>
      </c>
      <c r="N37">
        <f>IF(COUNTIF(L$36:L$39,2)&gt;1,IF(L37=2,COUNTIF($L$36:L37,2)-1,0),0)</f>
        <v>0</v>
      </c>
      <c r="O37">
        <f>IF(COUNTIF(L$36:L$39,3)&gt;1,IF(L37=3,COUNTIF($L$36:L37,3)-1,0),0)</f>
        <v>0</v>
      </c>
    </row>
    <row r="38" spans="1:15" x14ac:dyDescent="0.2">
      <c r="A38">
        <f>IF(SUM(L$36:L$39)=4,3,IF(COUNTIF(L$36:L38,L38)&gt;1,L38+M38+N38+O38,L38))</f>
        <v>2</v>
      </c>
      <c r="B38" s="40" t="s">
        <v>37</v>
      </c>
      <c r="C38" s="40">
        <f>COUNT(Tabelle!AD49,Tabelle!AF51,Tabelle!AF53)</f>
        <v>3</v>
      </c>
      <c r="D38" s="41">
        <f>SUM(Ränge2!B36:D36)</f>
        <v>2</v>
      </c>
      <c r="E38" s="41">
        <f>SUM(Ränge2!E36:I36)</f>
        <v>0</v>
      </c>
      <c r="F38" s="31" t="str">
        <f>CONCATENATE(TEXT(C38-(D38+E38),0),"         ")</f>
        <v xml:space="preserve">1         </v>
      </c>
      <c r="G38" s="41">
        <f>SUM(Tabelle!AD49,Tabelle!AF51,Tabelle!AF53)</f>
        <v>3</v>
      </c>
      <c r="H38" s="42" t="s">
        <v>12</v>
      </c>
      <c r="I38" s="41">
        <f>SUM(Tabelle!AF49,Tabelle!AD51,Tabelle!AD53)</f>
        <v>1</v>
      </c>
      <c r="J38" s="41">
        <f>G38-I38</f>
        <v>2</v>
      </c>
      <c r="K38" s="42">
        <f>3*D38+E38</f>
        <v>6</v>
      </c>
      <c r="L38" s="42">
        <f>Ränge2!AO36</f>
        <v>2</v>
      </c>
      <c r="M38">
        <f>IF(COUNTIF(L$36:L$39,1)&gt;1,IF(L38=1,COUNTIF($L$36:L38,1)-1,0),0)</f>
        <v>0</v>
      </c>
      <c r="N38">
        <f>IF(COUNTIF(L$36:L$39,2)&gt;1,IF(L38=2,COUNTIF($L$36:L38,2)-1,0),0)</f>
        <v>0</v>
      </c>
      <c r="O38">
        <f>IF(COUNTIF(L$36:L$39,3)&gt;1,IF(L38=3,COUNTIF($L$36:L38,3)-1,0),0)</f>
        <v>0</v>
      </c>
    </row>
    <row r="39" spans="1:15" x14ac:dyDescent="0.2">
      <c r="A39">
        <f>IF(SUM(L$36:L$39)=4,4,IF(COUNTIF(L$36:L39,L39)&gt;1,L39+M39+N39+O39,L39))</f>
        <v>4</v>
      </c>
      <c r="B39" s="40" t="s">
        <v>160</v>
      </c>
      <c r="C39" s="40">
        <f>COUNT(Tabelle!AF49,Tabelle!AD50,Tabelle!AD52)</f>
        <v>3</v>
      </c>
      <c r="D39" s="41">
        <f>SUM(Ränge2!B37:D37)</f>
        <v>0</v>
      </c>
      <c r="E39" s="41">
        <f>SUM(Ränge2!E37:I37)</f>
        <v>0</v>
      </c>
      <c r="F39" s="31" t="str">
        <f>CONCATENATE(TEXT(C39-(D39+E39),0),"         ")</f>
        <v xml:space="preserve">3         </v>
      </c>
      <c r="G39" s="41">
        <f>SUM(Tabelle!AF49,Tabelle!AD50,Tabelle!AD52)</f>
        <v>0</v>
      </c>
      <c r="H39" s="42" t="s">
        <v>12</v>
      </c>
      <c r="I39" s="41">
        <f>SUM(Tabelle!AD49,Tabelle!AF50,Tabelle!AF52)</f>
        <v>5</v>
      </c>
      <c r="J39" s="41">
        <f>G39-I39</f>
        <v>-5</v>
      </c>
      <c r="K39" s="42">
        <f>3*D39+E39</f>
        <v>0</v>
      </c>
      <c r="L39" s="42">
        <f>Ränge2!AO37</f>
        <v>4</v>
      </c>
      <c r="M39">
        <f>IF(COUNTIF(L$36:L$39,1)&gt;1,IF(L39=1,COUNTIF($L$36:L39,1)-1,0),0)</f>
        <v>0</v>
      </c>
      <c r="N39">
        <f>IF(COUNTIF(L$36:L$39,2)&gt;1,IF(L39=2,COUNTIF($L$36:L39,2)-1,0),0)</f>
        <v>0</v>
      </c>
      <c r="O39">
        <f>IF(COUNTIF(L$36:L$39,3)&gt;1,IF(L39=3,COUNTIF($L$36:L39,3)-1,0),0)</f>
        <v>0</v>
      </c>
    </row>
    <row r="40" spans="1:15" x14ac:dyDescent="0.2"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</row>
    <row r="41" spans="1:15" x14ac:dyDescent="0.2">
      <c r="B41" s="37" t="s">
        <v>161</v>
      </c>
      <c r="C41" s="31" t="s">
        <v>3</v>
      </c>
      <c r="D41" s="31" t="s">
        <v>4</v>
      </c>
      <c r="E41" s="31" t="s">
        <v>5</v>
      </c>
      <c r="F41" s="32" t="s">
        <v>6</v>
      </c>
      <c r="G41" s="30"/>
      <c r="H41" s="33" t="s">
        <v>7</v>
      </c>
      <c r="I41" s="30"/>
      <c r="J41" s="33" t="s">
        <v>8</v>
      </c>
      <c r="K41" s="30" t="s">
        <v>9</v>
      </c>
      <c r="L41" s="30" t="s">
        <v>56</v>
      </c>
      <c r="M41" s="264" t="s">
        <v>239</v>
      </c>
      <c r="N41" s="264" t="s">
        <v>240</v>
      </c>
      <c r="O41" s="264" t="s">
        <v>241</v>
      </c>
    </row>
    <row r="42" spans="1:15" x14ac:dyDescent="0.2">
      <c r="A42">
        <f>IF(SUM(L$42:L$45)=4,1,IF(COUNTIF(L$42:L42,L42)&gt;1,L42+M42+N42+O42,L42))</f>
        <v>1</v>
      </c>
      <c r="B42" s="40" t="s">
        <v>35</v>
      </c>
      <c r="C42" s="41">
        <f>COUNT(Tabelle!M65,Tabelle!M67,Tabelle!O69)</f>
        <v>3</v>
      </c>
      <c r="D42" s="41">
        <f>SUM(Ränge2!B40:D40)</f>
        <v>2</v>
      </c>
      <c r="E42" s="41">
        <f>SUM(Ränge2!E40:I40)</f>
        <v>1</v>
      </c>
      <c r="F42" s="31" t="str">
        <f>CONCATENATE(TEXT(C42-(D42+E42),0),"         ")</f>
        <v xml:space="preserve">0         </v>
      </c>
      <c r="G42" s="41">
        <f>SUM(Tabelle!M65,Tabelle!M67,Tabelle!O69)</f>
        <v>6</v>
      </c>
      <c r="H42" s="42" t="s">
        <v>12</v>
      </c>
      <c r="I42" s="41">
        <f>SUM(Tabelle!O65,Tabelle!O67,Tabelle!M69)</f>
        <v>1</v>
      </c>
      <c r="J42" s="41">
        <f>G42-I42</f>
        <v>5</v>
      </c>
      <c r="K42" s="42">
        <f>3*D42+E42</f>
        <v>7</v>
      </c>
      <c r="L42" s="42">
        <f>Ränge2!AO40</f>
        <v>1</v>
      </c>
      <c r="M42">
        <f>IF(COUNTIF(L$42:L$45,1)&gt;1,IF(L42=1,COUNTIF($L$42:L42,1)-1,0),0)</f>
        <v>0</v>
      </c>
      <c r="N42">
        <f>IF(COUNTIF(L$42:L$45,2)&gt;1,IF(L42=2,COUNTIF($L$42:L42,2)-1,0),0)</f>
        <v>0</v>
      </c>
      <c r="O42">
        <f>IF(COUNTIF(L$42:L$45,3)&gt;1,IF(L42=3,COUNTIF($L$42:L42,3)-1,0),0)</f>
        <v>0</v>
      </c>
    </row>
    <row r="43" spans="1:15" x14ac:dyDescent="0.2">
      <c r="A43">
        <f>IF(SUM(L$42:L$45)=4,2,IF(COUNTIF(L$42:L43,L43)&gt;1,L43+M43+N43+O43,L43))</f>
        <v>4</v>
      </c>
      <c r="B43" s="40" t="s">
        <v>163</v>
      </c>
      <c r="C43" s="41">
        <f>COUNT(Tabelle!O65,Tabelle!O68,Tabelle!M70)</f>
        <v>3</v>
      </c>
      <c r="D43" s="41">
        <f>SUM(Ränge2!B41:D41)</f>
        <v>0</v>
      </c>
      <c r="E43" s="41">
        <f>SUM(Ränge2!E41:I41)</f>
        <v>1</v>
      </c>
      <c r="F43" s="31" t="str">
        <f>CONCATENATE(TEXT(C43-(D43+E43),0),"         ")</f>
        <v xml:space="preserve">2         </v>
      </c>
      <c r="G43" s="41">
        <f>SUM(Tabelle!O65,Tabelle!O68,Tabelle!M70)</f>
        <v>2</v>
      </c>
      <c r="H43" s="42" t="s">
        <v>12</v>
      </c>
      <c r="I43" s="41">
        <f>SUM(Tabelle!M65,Tabelle!M68,Tabelle!O70)</f>
        <v>6</v>
      </c>
      <c r="J43" s="41">
        <f>G43-I43</f>
        <v>-4</v>
      </c>
      <c r="K43" s="42">
        <f>3*D43+E43</f>
        <v>1</v>
      </c>
      <c r="L43" s="42">
        <f>Ränge2!AO41</f>
        <v>4</v>
      </c>
      <c r="M43">
        <f>IF(COUNTIF(L$42:L$45,1)&gt;1,IF(L43=1,COUNTIF($L$42:L43,1)-1,0),0)</f>
        <v>0</v>
      </c>
      <c r="N43">
        <f>IF(COUNTIF(L$42:L$45,2)&gt;1,IF(L43=2,COUNTIF($L$42:L43,2)-1,0),0)</f>
        <v>0</v>
      </c>
      <c r="O43">
        <f>IF(COUNTIF(L$42:L$45,3)&gt;1,IF(L43=3,COUNTIF($L$42:L43,3)-1,0),0)</f>
        <v>0</v>
      </c>
    </row>
    <row r="44" spans="1:15" x14ac:dyDescent="0.2">
      <c r="A44">
        <f>IF(SUM(L$42:L$45)=4,3,IF(COUNTIF(L$42:L44,L44)&gt;1,L44+M44+N44+O44,L44))</f>
        <v>3</v>
      </c>
      <c r="B44" s="40" t="s">
        <v>164</v>
      </c>
      <c r="C44" s="41">
        <f>COUNT(Tabelle!M66,Tabelle!O67,Tabelle!O70)</f>
        <v>3</v>
      </c>
      <c r="D44" s="41">
        <f>SUM(Ränge2!B42:D42)</f>
        <v>0</v>
      </c>
      <c r="E44" s="41">
        <f>SUM(Ränge2!E42:I42)</f>
        <v>1</v>
      </c>
      <c r="F44" s="31" t="str">
        <f>CONCATENATE(TEXT(C44-(D44+E44),0),"         ")</f>
        <v xml:space="preserve">2         </v>
      </c>
      <c r="G44" s="41">
        <f>SUM(Tabelle!M66,Tabelle!O67,Tabelle!O70)</f>
        <v>1</v>
      </c>
      <c r="H44" s="42" t="s">
        <v>12</v>
      </c>
      <c r="I44" s="41">
        <f>SUM(Tabelle!O66,Tabelle!M67,Tabelle!M70)</f>
        <v>4</v>
      </c>
      <c r="J44" s="41">
        <f>G44-I44</f>
        <v>-3</v>
      </c>
      <c r="K44" s="42">
        <f>3*D44+E44</f>
        <v>1</v>
      </c>
      <c r="L44" s="42">
        <f>Ränge2!AO42</f>
        <v>3</v>
      </c>
      <c r="M44">
        <f>IF(COUNTIF(L$42:L$45,1)&gt;1,IF(L44=1,COUNTIF($L$42:L44,1)-1,0),0)</f>
        <v>0</v>
      </c>
      <c r="N44">
        <f>IF(COUNTIF(L$42:L$45,2)&gt;1,IF(L44=2,COUNTIF($L$42:L44,2)-1,0),0)</f>
        <v>0</v>
      </c>
      <c r="O44">
        <f>IF(COUNTIF(L$42:L$45,3)&gt;1,IF(L44=3,COUNTIF($L$42:L44,3)-1,0),0)</f>
        <v>0</v>
      </c>
    </row>
    <row r="45" spans="1:15" x14ac:dyDescent="0.2">
      <c r="A45">
        <f>IF(SUM(L$42:L$45)=4,4,IF(COUNTIF(L$42:L45,L45)&gt;1,L45+M45+N45+O45,L45))</f>
        <v>2</v>
      </c>
      <c r="B45" s="40" t="s">
        <v>18</v>
      </c>
      <c r="C45" s="41">
        <f>COUNT(Tabelle!O66,Tabelle!M68,Tabelle!M69)</f>
        <v>3</v>
      </c>
      <c r="D45" s="41">
        <f>SUM(Ränge2!B43:D43)</f>
        <v>2</v>
      </c>
      <c r="E45" s="41">
        <f>SUM(Ränge2!E43:I43)</f>
        <v>1</v>
      </c>
      <c r="F45" s="31" t="str">
        <f>CONCATENATE(TEXT(C45-(D45+E45),0),"         ")</f>
        <v xml:space="preserve">0         </v>
      </c>
      <c r="G45" s="41">
        <f>SUM(Tabelle!O66,Tabelle!M68,Tabelle!M69)</f>
        <v>4</v>
      </c>
      <c r="H45" s="42" t="s">
        <v>12</v>
      </c>
      <c r="I45" s="41">
        <f>SUM(Tabelle!M66,Tabelle!O68,Tabelle!O69)</f>
        <v>2</v>
      </c>
      <c r="J45" s="41">
        <f>G45-I45</f>
        <v>2</v>
      </c>
      <c r="K45" s="42">
        <f>3*D45+E45</f>
        <v>7</v>
      </c>
      <c r="L45" s="42">
        <f>Ränge2!AO43</f>
        <v>2</v>
      </c>
      <c r="M45">
        <f>IF(COUNTIF(L$42:L$45,1)&gt;1,IF(L45=1,COUNTIF($L$42:L45,1)-1,0),0)</f>
        <v>0</v>
      </c>
      <c r="N45">
        <f>IF(COUNTIF(L$42:L$45,2)&gt;1,IF(L45=2,COUNTIF($L$42:L45,2)-1,0),0)</f>
        <v>0</v>
      </c>
      <c r="O45">
        <f>IF(COUNTIF(L$42:L$45,3)&gt;1,IF(L45=3,COUNTIF($L$42:L45,3)-1,0),0)</f>
        <v>0</v>
      </c>
    </row>
    <row r="46" spans="1:15" x14ac:dyDescent="0.2"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</row>
    <row r="47" spans="1:15" x14ac:dyDescent="0.2">
      <c r="B47" s="40" t="s">
        <v>162</v>
      </c>
      <c r="C47" s="31" t="s">
        <v>3</v>
      </c>
      <c r="D47" s="31" t="s">
        <v>4</v>
      </c>
      <c r="E47" s="31" t="s">
        <v>5</v>
      </c>
      <c r="F47" s="32" t="s">
        <v>6</v>
      </c>
      <c r="G47" s="30"/>
      <c r="H47" s="33" t="s">
        <v>7</v>
      </c>
      <c r="I47" s="30"/>
      <c r="J47" s="33" t="s">
        <v>8</v>
      </c>
      <c r="K47" s="30" t="s">
        <v>9</v>
      </c>
      <c r="L47" s="30" t="s">
        <v>56</v>
      </c>
      <c r="M47" s="264" t="s">
        <v>239</v>
      </c>
      <c r="N47" s="264" t="s">
        <v>240</v>
      </c>
      <c r="O47" s="264" t="s">
        <v>241</v>
      </c>
    </row>
    <row r="48" spans="1:15" x14ac:dyDescent="0.2">
      <c r="A48">
        <f>IF(SUM(L$48:L$51)=4,1,IF(COUNTIF(L$48:L48,L48)&gt;1,L48+M48+N48+O48,L48))</f>
        <v>3</v>
      </c>
      <c r="B48" s="40" t="s">
        <v>29</v>
      </c>
      <c r="C48" s="40">
        <f>COUNT(Tabelle!AD66,Tabelle!AD68,Tabelle!AF69)</f>
        <v>3</v>
      </c>
      <c r="D48" s="41">
        <f>SUM(Ränge2!B46:D46)</f>
        <v>1</v>
      </c>
      <c r="E48" s="41">
        <f>SUM(Ränge2!E46:I46)</f>
        <v>1</v>
      </c>
      <c r="F48" s="31" t="str">
        <f>CONCATENATE(TEXT(C48-(D48+E48),0),"         ")</f>
        <v xml:space="preserve">1         </v>
      </c>
      <c r="G48" s="41">
        <f>SUM(Tabelle!AD66,Tabelle!AD68,Tabelle!AF69)</f>
        <v>3</v>
      </c>
      <c r="H48" s="42" t="s">
        <v>12</v>
      </c>
      <c r="I48" s="41">
        <f>SUM(Tabelle!AF66,Tabelle!AF68,Tabelle!AD69)</f>
        <v>3</v>
      </c>
      <c r="J48" s="41">
        <f>G48-I48</f>
        <v>0</v>
      </c>
      <c r="K48" s="42">
        <f>3*D48+E48</f>
        <v>4</v>
      </c>
      <c r="L48" s="42">
        <f>Ränge2!AO46</f>
        <v>3</v>
      </c>
      <c r="M48">
        <f>IF(COUNTIF(L$48:L$51,1)&gt;1,IF(L48=1,COUNTIF($L$48:L48,1)-1,0),0)</f>
        <v>0</v>
      </c>
      <c r="N48">
        <f>IF(COUNTIF(L$48:L$51,2)&gt;1,IF(L48=2,COUNTIF($L$48:L48,2)-1,0),0)</f>
        <v>0</v>
      </c>
      <c r="O48">
        <f>IF(COUNTIF(L$48:L$51,3)&gt;1,IF(L48=3,COUNTIF($L$48:L48,3)-1,0),0)</f>
        <v>0</v>
      </c>
    </row>
    <row r="49" spans="1:15" x14ac:dyDescent="0.2">
      <c r="A49">
        <f>IF(SUM(L$48:L$51)=4,2,IF(COUNTIF(L$48:L49,L49)&gt;1,L49+M49+N49+O49,L49))</f>
        <v>2</v>
      </c>
      <c r="B49" s="40" t="s">
        <v>165</v>
      </c>
      <c r="C49" s="40">
        <f>COUNT(Tabelle!AF66,Tabelle!AF67,Tabelle!AD70)</f>
        <v>3</v>
      </c>
      <c r="D49" s="41">
        <f>SUM(Ränge2!B47:D47)</f>
        <v>1</v>
      </c>
      <c r="E49" s="41">
        <f>SUM(Ränge2!E47:I47)</f>
        <v>1</v>
      </c>
      <c r="F49" s="31" t="str">
        <f>CONCATENATE(TEXT(C49-(D49+E49),0),"         ")</f>
        <v xml:space="preserve">1         </v>
      </c>
      <c r="G49" s="41">
        <f>SUM(Tabelle!AF66,Tabelle!AF67,Tabelle!AD70)</f>
        <v>4</v>
      </c>
      <c r="H49" s="42" t="s">
        <v>12</v>
      </c>
      <c r="I49" s="41">
        <f>SUM(Tabelle!AD66,Tabelle!AD67,Tabelle!AF70)</f>
        <v>3</v>
      </c>
      <c r="J49" s="41">
        <f>G49-I49</f>
        <v>1</v>
      </c>
      <c r="K49" s="42">
        <f>3*D49+E49</f>
        <v>4</v>
      </c>
      <c r="L49" s="42">
        <f>Ränge2!AO47</f>
        <v>2</v>
      </c>
      <c r="M49">
        <f>IF(COUNTIF(L$48:L$51,1)&gt;1,IF(L49=1,COUNTIF($L$48:L49,1)-1,0),0)</f>
        <v>0</v>
      </c>
      <c r="N49">
        <f>IF(COUNTIF(L$48:L$51,2)&gt;1,IF(L49=2,COUNTIF($L$48:L49,2)-1,0),0)</f>
        <v>0</v>
      </c>
      <c r="O49">
        <f>IF(COUNTIF(L$48:L$51,3)&gt;1,IF(L49=3,COUNTIF($L$48:L49,3)-1,0),0)</f>
        <v>0</v>
      </c>
    </row>
    <row r="50" spans="1:15" x14ac:dyDescent="0.2">
      <c r="A50">
        <f>IF(SUM(L$48:L$51)=4,3,IF(COUNTIF(L$48:L50,L50)&gt;1,L50+M50+N50+O50,L50))</f>
        <v>1</v>
      </c>
      <c r="B50" s="40" t="s">
        <v>166</v>
      </c>
      <c r="C50" s="40">
        <f>COUNT(Tabelle!AD65,Tabelle!AF68,Tabelle!AF70)</f>
        <v>3</v>
      </c>
      <c r="D50" s="41">
        <f>SUM(Ränge2!B48:D48)</f>
        <v>3</v>
      </c>
      <c r="E50" s="41">
        <f>SUM(Ränge2!E48:I48)</f>
        <v>0</v>
      </c>
      <c r="F50" s="31" t="str">
        <f>CONCATENATE(TEXT(C50-(D50+E50),0),"         ")</f>
        <v xml:space="preserve">0         </v>
      </c>
      <c r="G50" s="41">
        <f>SUM(Tabelle!AD65,Tabelle!AF68,Tabelle!AF70)</f>
        <v>7</v>
      </c>
      <c r="H50" s="42" t="s">
        <v>12</v>
      </c>
      <c r="I50" s="41">
        <f>SUM(Tabelle!AF65,Tabelle!AD68,Tabelle!AD70)</f>
        <v>3</v>
      </c>
      <c r="J50" s="41">
        <f>G50-I50</f>
        <v>4</v>
      </c>
      <c r="K50" s="42">
        <f>3*D50+E50</f>
        <v>9</v>
      </c>
      <c r="L50" s="42">
        <f>Ränge2!AO48</f>
        <v>1</v>
      </c>
      <c r="M50">
        <f>IF(COUNTIF(L$48:L$51,1)&gt;1,IF(L50=1,COUNTIF($L$48:L50,1)-1,0),0)</f>
        <v>0</v>
      </c>
      <c r="N50">
        <f>IF(COUNTIF(L$48:L$51,2)&gt;1,IF(L50=2,COUNTIF($L$48:L50,2)-1,0),0)</f>
        <v>0</v>
      </c>
      <c r="O50">
        <f>IF(COUNTIF(L$48:L$51,3)&gt;1,IF(L50=3,COUNTIF($L$48:L50,3)-1,0),0)</f>
        <v>0</v>
      </c>
    </row>
    <row r="51" spans="1:15" x14ac:dyDescent="0.2">
      <c r="A51">
        <f>IF(SUM(L$48:L$51)=4,4,IF(COUNTIF(L$48:L51,L51)&gt;1,L51+M51+N51+O51,L51))</f>
        <v>4</v>
      </c>
      <c r="B51" s="40" t="s">
        <v>167</v>
      </c>
      <c r="C51" s="40">
        <f>COUNT(Tabelle!AF65,Tabelle!AD67,Tabelle!AD69)</f>
        <v>3</v>
      </c>
      <c r="D51" s="41">
        <f>SUM(Ränge2!B49:D49)</f>
        <v>0</v>
      </c>
      <c r="E51" s="41">
        <f>SUM(Ränge2!E49:I49)</f>
        <v>0</v>
      </c>
      <c r="F51" s="31" t="str">
        <f>CONCATENATE(TEXT(C51-(D51+E51),0),"         ")</f>
        <v xml:space="preserve">3         </v>
      </c>
      <c r="G51" s="41">
        <f>SUM(Tabelle!AF65,Tabelle!AD67,Tabelle!AD69)</f>
        <v>1</v>
      </c>
      <c r="H51" s="42" t="s">
        <v>12</v>
      </c>
      <c r="I51" s="41">
        <f>SUM(Tabelle!AD65,Tabelle!AF67,Tabelle!AF69)</f>
        <v>6</v>
      </c>
      <c r="J51" s="41">
        <f>G51-I51</f>
        <v>-5</v>
      </c>
      <c r="K51" s="42">
        <f>3*D51+E51</f>
        <v>0</v>
      </c>
      <c r="L51" s="42">
        <f>Ränge2!AO49</f>
        <v>4</v>
      </c>
      <c r="M51">
        <f>IF(COUNTIF(L$48:L$51,1)&gt;1,IF(L51=1,COUNTIF($L$48:L51,1)-1,0),0)</f>
        <v>0</v>
      </c>
      <c r="N51">
        <f>IF(COUNTIF(L$48:L$51,2)&gt;1,IF(L51=2,COUNTIF($L$48:L51,2)-1,0),0)</f>
        <v>0</v>
      </c>
      <c r="O51">
        <f>IF(COUNTIF(L$48:L$51,3)&gt;1,IF(L51=3,COUNTIF($L$48:L51,3)-1,0),0)</f>
        <v>0</v>
      </c>
    </row>
    <row r="52" spans="1:15" x14ac:dyDescent="0.2"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</row>
    <row r="53" spans="1:15" x14ac:dyDescent="0.2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</row>
    <row r="54" spans="1:15" x14ac:dyDescent="0.2"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</row>
    <row r="55" spans="1:15" x14ac:dyDescent="0.2"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</row>
    <row r="56" spans="1:15" x14ac:dyDescent="0.2"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</row>
    <row r="57" spans="1:15" x14ac:dyDescent="0.2"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</row>
    <row r="58" spans="1:15" x14ac:dyDescent="0.2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</row>
    <row r="59" spans="1:15" x14ac:dyDescent="0.2"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</row>
    <row r="60" spans="1:15" x14ac:dyDescent="0.2"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</row>
    <row r="61" spans="1:15" x14ac:dyDescent="0.2"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</row>
    <row r="62" spans="1:15" x14ac:dyDescent="0.2"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</row>
    <row r="63" spans="1:15" x14ac:dyDescent="0.2"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</row>
    <row r="64" spans="1:15" x14ac:dyDescent="0.2"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</row>
    <row r="65" spans="2:12" x14ac:dyDescent="0.2"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</row>
    <row r="66" spans="2:12" x14ac:dyDescent="0.2"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</row>
  </sheetData>
  <sheetProtection selectLockedCells="1" selectUnlockedCells="1"/>
  <pageMargins left="0.70000000000000007" right="0.70000000000000007" top="0.78740157500000008" bottom="0.78740157500000008" header="0.30000000000000004" footer="0.3000000000000000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V65"/>
  <sheetViews>
    <sheetView topLeftCell="A32" workbookViewId="0">
      <selection activeCell="E49" sqref="E49"/>
    </sheetView>
  </sheetViews>
  <sheetFormatPr baseColWidth="10" defaultColWidth="11.5" defaultRowHeight="15" x14ac:dyDescent="0.2"/>
  <cols>
    <col min="1" max="1" width="11.5" customWidth="1"/>
    <col min="4" max="4" width="8.6640625" customWidth="1"/>
    <col min="5" max="5" width="6.6640625" customWidth="1"/>
    <col min="6" max="6" width="9" customWidth="1"/>
    <col min="7" max="7" width="5.1640625" customWidth="1"/>
    <col min="8" max="8" width="6.6640625" customWidth="1"/>
    <col min="9" max="9" width="2.6640625" customWidth="1"/>
    <col min="10" max="10" width="3.6640625" customWidth="1"/>
    <col min="13" max="13" width="10.6640625" customWidth="1"/>
    <col min="14" max="14" width="11.5" customWidth="1"/>
    <col min="15" max="15" width="10.6640625" customWidth="1"/>
  </cols>
  <sheetData>
    <row r="2" spans="2:22" x14ac:dyDescent="0.2">
      <c r="B2" t="s">
        <v>62</v>
      </c>
    </row>
    <row r="3" spans="2:22" x14ac:dyDescent="0.2">
      <c r="D3" t="s">
        <v>63</v>
      </c>
      <c r="E3" t="s">
        <v>64</v>
      </c>
      <c r="F3" t="s">
        <v>65</v>
      </c>
      <c r="G3" t="s">
        <v>66</v>
      </c>
      <c r="H3" t="s">
        <v>67</v>
      </c>
      <c r="I3" t="s">
        <v>68</v>
      </c>
      <c r="J3" t="s">
        <v>69</v>
      </c>
      <c r="K3" t="s">
        <v>198</v>
      </c>
      <c r="M3" t="s">
        <v>73</v>
      </c>
      <c r="N3" t="s">
        <v>197</v>
      </c>
      <c r="O3" t="s">
        <v>70</v>
      </c>
      <c r="P3" t="s">
        <v>71</v>
      </c>
      <c r="Q3" t="s">
        <v>72</v>
      </c>
      <c r="T3" t="s">
        <v>75</v>
      </c>
    </row>
    <row r="4" spans="2:22" x14ac:dyDescent="0.2">
      <c r="B4" t="s">
        <v>16</v>
      </c>
      <c r="C4" t="s">
        <v>146</v>
      </c>
      <c r="D4">
        <f>(Ränge2!V4=Ränge2!V5)*1</f>
        <v>0</v>
      </c>
      <c r="E4">
        <f>(3*Ränge2!B4+1*Ränge2!E4)-(3*Ränge2!B5+1*Ränge2!E5)</f>
        <v>3</v>
      </c>
      <c r="F4">
        <f>(Ränge2!AB4=Ränge2!AB5)*1</f>
        <v>0</v>
      </c>
      <c r="G4">
        <f>Tabelle!M14-Tabelle!O14</f>
        <v>1</v>
      </c>
      <c r="H4">
        <f>(Ränge2!AH4=Ränge2!AH5)*1</f>
        <v>0</v>
      </c>
      <c r="I4">
        <f>Tabelle!M14</f>
        <v>1</v>
      </c>
      <c r="J4">
        <f>Tabelle!O14</f>
        <v>0</v>
      </c>
      <c r="L4" t="s">
        <v>16</v>
      </c>
      <c r="M4">
        <f>Gruppen!$J6</f>
        <v>0</v>
      </c>
      <c r="N4">
        <f>Gruppen!$G6</f>
        <v>3</v>
      </c>
      <c r="O4">
        <f>$D4*$E4+$D6*$E6+$D8*$E8*(-1)</f>
        <v>0</v>
      </c>
      <c r="P4">
        <f>$F4*$G4+$F6*$G6+$F8*$G8*(-1)</f>
        <v>0</v>
      </c>
      <c r="Q4">
        <f>$H4*$I4+$H6*$I6+$H8*$J8</f>
        <v>0</v>
      </c>
      <c r="R4" t="s">
        <v>198</v>
      </c>
      <c r="T4" s="224" t="s">
        <v>187</v>
      </c>
    </row>
    <row r="5" spans="2:22" x14ac:dyDescent="0.2">
      <c r="B5" t="s">
        <v>147</v>
      </c>
      <c r="C5" t="s">
        <v>148</v>
      </c>
      <c r="D5">
        <f>(Ränge2!V6=Ränge2!V7)*1</f>
        <v>0</v>
      </c>
      <c r="E5">
        <f>(3*Ränge2!B6+Ränge2!E6)-(3*Ränge2!B7+Ränge2!E7)</f>
        <v>-3</v>
      </c>
      <c r="F5">
        <f>(Ränge2!AB6=Ränge2!AB7)*1</f>
        <v>0</v>
      </c>
      <c r="G5">
        <f>Tabelle!M15-Tabelle!O15</f>
        <v>-1</v>
      </c>
      <c r="H5">
        <f>(Ränge2!AH6=Ränge2!AH7)*1</f>
        <v>0</v>
      </c>
      <c r="I5">
        <f>Tabelle!M15</f>
        <v>1</v>
      </c>
      <c r="J5">
        <f>Tabelle!O15</f>
        <v>2</v>
      </c>
      <c r="L5" t="s">
        <v>146</v>
      </c>
      <c r="M5">
        <f>Gruppen!$J7</f>
        <v>-5</v>
      </c>
      <c r="N5">
        <f>Gruppen!$G7</f>
        <v>0</v>
      </c>
      <c r="O5">
        <f>$D4*$E4*(-1)+$D7*$E7*(-1)+$D9*$E9</f>
        <v>0</v>
      </c>
      <c r="P5">
        <f>$F4*$G4*(-1)+$F7*$G7*(-1)+$F9*$G9</f>
        <v>0</v>
      </c>
      <c r="Q5">
        <f>$H4*$J4+$H7*$J7+$H9*$I9</f>
        <v>0</v>
      </c>
      <c r="T5" s="224" t="s">
        <v>188</v>
      </c>
    </row>
    <row r="6" spans="2:22" x14ac:dyDescent="0.2">
      <c r="B6" t="s">
        <v>16</v>
      </c>
      <c r="C6" t="s">
        <v>147</v>
      </c>
      <c r="D6">
        <f>(Ränge2!V4=Ränge2!V6)*1</f>
        <v>0</v>
      </c>
      <c r="E6">
        <f>(3*Ränge2!C4+Ränge2!F4)-(3*Ränge2!C6+Ränge2!F6)</f>
        <v>0</v>
      </c>
      <c r="F6">
        <f>(Ränge2!AB4=Ränge2!AB6)*1</f>
        <v>0</v>
      </c>
      <c r="G6">
        <f>Tabelle!M16-Tabelle!O16</f>
        <v>0</v>
      </c>
      <c r="H6">
        <f>(Ränge2!AH4=Ränge2!AH6)*1</f>
        <v>0</v>
      </c>
      <c r="I6">
        <f>Tabelle!M16</f>
        <v>1</v>
      </c>
      <c r="J6">
        <f>Tabelle!O16</f>
        <v>1</v>
      </c>
      <c r="L6" t="s">
        <v>147</v>
      </c>
      <c r="M6">
        <f>Gruppen!$J8</f>
        <v>1</v>
      </c>
      <c r="N6">
        <f>Gruppen!$G8</f>
        <v>4</v>
      </c>
      <c r="O6">
        <f>$D5*$E5+$D6*$E6*-1+$D9*$E9*-1</f>
        <v>0</v>
      </c>
      <c r="P6">
        <f>$F5*$G5+$F6*$G6*-1+$F9*$G9*-1</f>
        <v>0</v>
      </c>
      <c r="Q6">
        <f>$H5*$I5+$H6*$J6+$H9*$J9</f>
        <v>0</v>
      </c>
      <c r="T6" s="224" t="s">
        <v>189</v>
      </c>
    </row>
    <row r="7" spans="2:22" x14ac:dyDescent="0.2">
      <c r="B7" t="s">
        <v>148</v>
      </c>
      <c r="C7" t="s">
        <v>146</v>
      </c>
      <c r="D7">
        <f>(Ränge2!V5=Ränge2!V7)*1</f>
        <v>0</v>
      </c>
      <c r="E7">
        <f>(3*Ränge2!C7+Ränge2!F7)-(3*Ränge2!C5+Ränge2!F5)</f>
        <v>3</v>
      </c>
      <c r="F7">
        <f>(Ränge2!AB5=Ränge2!AB7)*1</f>
        <v>0</v>
      </c>
      <c r="G7">
        <f>Tabelle!M17-Tabelle!O17</f>
        <v>2</v>
      </c>
      <c r="H7">
        <f>(Ränge2!AH5=Ränge2!AH7)*1</f>
        <v>0</v>
      </c>
      <c r="I7">
        <f>Tabelle!M17</f>
        <v>2</v>
      </c>
      <c r="J7">
        <f>Tabelle!O17</f>
        <v>0</v>
      </c>
      <c r="L7" t="s">
        <v>148</v>
      </c>
      <c r="M7">
        <f>Gruppen!$J9</f>
        <v>4</v>
      </c>
      <c r="N7">
        <f>Gruppen!$G9</f>
        <v>6</v>
      </c>
      <c r="O7">
        <f>$D5*$E5*-1+$D7*$E7+$D8*$E8</f>
        <v>0</v>
      </c>
      <c r="P7">
        <f>$F5*$G5*-1+$F7*$G7+$F8*$G8</f>
        <v>0</v>
      </c>
      <c r="Q7">
        <f>$H5*$J5+$H7*$I7+$H8*$I8</f>
        <v>0</v>
      </c>
      <c r="T7" s="224" t="s">
        <v>190</v>
      </c>
    </row>
    <row r="8" spans="2:22" x14ac:dyDescent="0.2">
      <c r="B8" t="s">
        <v>148</v>
      </c>
      <c r="C8" t="s">
        <v>16</v>
      </c>
      <c r="D8">
        <f>(Ränge2!V7=Ränge2!V4)*1</f>
        <v>0</v>
      </c>
      <c r="E8">
        <f>(3*Ränge2!D7+Ränge2!G7)-(3*Ränge2!D4+Ränge2!G4)</f>
        <v>3</v>
      </c>
      <c r="F8">
        <f>(Ränge2!AB7=Ränge2!AB4)*1</f>
        <v>0</v>
      </c>
      <c r="G8">
        <f>Tabelle!M18-Tabelle!O18</f>
        <v>1</v>
      </c>
      <c r="H8">
        <f>(Ränge2!AH7=Ränge2!AH4)*1</f>
        <v>0</v>
      </c>
      <c r="I8">
        <f>Tabelle!M18</f>
        <v>2</v>
      </c>
      <c r="J8">
        <f>Tabelle!O18</f>
        <v>1</v>
      </c>
      <c r="T8" s="224" t="s">
        <v>191</v>
      </c>
    </row>
    <row r="9" spans="2:22" x14ac:dyDescent="0.2">
      <c r="B9" t="s">
        <v>146</v>
      </c>
      <c r="C9" t="s">
        <v>147</v>
      </c>
      <c r="D9">
        <f>(Ränge2!V5=Ränge2!V6)*1</f>
        <v>0</v>
      </c>
      <c r="E9">
        <f>(3*Ränge2!D5+Ränge2!G5)-(3*Ränge2!D6+Ränge2!G6)</f>
        <v>-3</v>
      </c>
      <c r="F9">
        <f>(Ränge2!AB5=Ränge2!AB6)*1</f>
        <v>0</v>
      </c>
      <c r="G9">
        <f>Tabelle!M19-Tabelle!O19</f>
        <v>-2</v>
      </c>
      <c r="H9">
        <f>(Ränge2!AH5=Ränge2!AH6)*1</f>
        <v>0</v>
      </c>
      <c r="I9">
        <f>Tabelle!M19</f>
        <v>0</v>
      </c>
      <c r="J9">
        <f>Tabelle!O19</f>
        <v>2</v>
      </c>
      <c r="M9" t="s">
        <v>70</v>
      </c>
      <c r="N9" t="s">
        <v>71</v>
      </c>
      <c r="O9" t="s">
        <v>72</v>
      </c>
      <c r="P9" t="s">
        <v>73</v>
      </c>
      <c r="Q9" t="s">
        <v>74</v>
      </c>
      <c r="R9" t="s">
        <v>198</v>
      </c>
      <c r="T9" s="224" t="s">
        <v>192</v>
      </c>
    </row>
    <row r="10" spans="2:22" x14ac:dyDescent="0.2">
      <c r="L10" t="s">
        <v>38</v>
      </c>
      <c r="M10">
        <f>Gruppen!$J12</f>
        <v>1</v>
      </c>
      <c r="N10">
        <f>Gruppen!$G12</f>
        <v>3</v>
      </c>
      <c r="O10">
        <f>$D13*$E13+$D14*$E14+$D16*$E16*(-1)</f>
        <v>0</v>
      </c>
      <c r="P10">
        <f>$F13*$G13+$F14*$G14+$F16*$G16*(-1)</f>
        <v>0</v>
      </c>
      <c r="Q10">
        <f>$H13*$I13+$H14*$I14+$H16*$J16</f>
        <v>0</v>
      </c>
    </row>
    <row r="11" spans="2:22" x14ac:dyDescent="0.2">
      <c r="D11" t="s">
        <v>63</v>
      </c>
      <c r="E11" t="s">
        <v>64</v>
      </c>
      <c r="F11" t="s">
        <v>65</v>
      </c>
      <c r="G11" t="s">
        <v>66</v>
      </c>
      <c r="H11" t="s">
        <v>67</v>
      </c>
      <c r="I11" t="s">
        <v>68</v>
      </c>
      <c r="J11" t="s">
        <v>69</v>
      </c>
      <c r="K11" t="s">
        <v>198</v>
      </c>
      <c r="L11" t="s">
        <v>28</v>
      </c>
      <c r="M11">
        <f>Gruppen!$J13</f>
        <v>6</v>
      </c>
      <c r="N11">
        <f>Gruppen!$G13</f>
        <v>7</v>
      </c>
      <c r="O11">
        <f>$D13*$E13*(-1)+$D15*$E15*(-1)+$D17*$E17</f>
        <v>0</v>
      </c>
      <c r="P11">
        <f>$F13*$G13*(-1)+$F15*$G15*(-1)+$F17*$G17</f>
        <v>0</v>
      </c>
      <c r="Q11">
        <f>$H13*$J13+$H15*$J15+$H17*$I17</f>
        <v>0</v>
      </c>
    </row>
    <row r="12" spans="2:22" x14ac:dyDescent="0.2">
      <c r="B12" t="s">
        <v>149</v>
      </c>
      <c r="C12" t="s">
        <v>150</v>
      </c>
      <c r="D12">
        <f>(Ränge2!V12=Ränge2!V13)*1</f>
        <v>0</v>
      </c>
      <c r="E12">
        <f>(3*Ränge2!B12+Ränge2!E12)-(3*Ränge2!B13+Ränge2!E13)</f>
        <v>3</v>
      </c>
      <c r="F12">
        <f>(Ränge2!AB12=Ränge2!AB13)*1</f>
        <v>0</v>
      </c>
      <c r="G12">
        <f>Tabelle!AD14-Tabelle!AF14</f>
        <v>1</v>
      </c>
      <c r="H12">
        <f>(Ränge2!AH12=Ränge2!AH13)*1</f>
        <v>0</v>
      </c>
      <c r="I12">
        <f>Tabelle!AD14</f>
        <v>1</v>
      </c>
      <c r="J12">
        <f>Tabelle!AF14</f>
        <v>0</v>
      </c>
      <c r="L12" t="s">
        <v>149</v>
      </c>
      <c r="M12">
        <f>Gruppen!$J14</f>
        <v>-2</v>
      </c>
      <c r="N12">
        <f>Gruppen!$G14</f>
        <v>1</v>
      </c>
      <c r="O12">
        <f>$D12*$E12+$D14*$E14*-1+$D17*$E17*-1</f>
        <v>0</v>
      </c>
      <c r="P12">
        <f>$F12*$G12+$F14*$G14*-1+$F17*$G17*-1</f>
        <v>0</v>
      </c>
      <c r="Q12">
        <f>$H12*$I12+$H14*$J14+$H17*$J17</f>
        <v>0</v>
      </c>
    </row>
    <row r="13" spans="2:22" x14ac:dyDescent="0.2">
      <c r="B13" t="s">
        <v>38</v>
      </c>
      <c r="C13" t="s">
        <v>28</v>
      </c>
      <c r="D13">
        <f>(Ränge2!V10=Ränge2!V11)*1</f>
        <v>0</v>
      </c>
      <c r="E13">
        <f>(3*Ränge2!B10+Ränge2!E10)-(3*Ränge2!B11+Ränge2!E11)</f>
        <v>-3</v>
      </c>
      <c r="F13">
        <f>(Ränge2!AB10=Ränge2!AB11)*1</f>
        <v>0</v>
      </c>
      <c r="G13">
        <f>Tabelle!AD15-Tabelle!AF15</f>
        <v>-1</v>
      </c>
      <c r="H13">
        <f>(Ränge2!AH10=Ränge2!AH11)*1</f>
        <v>0</v>
      </c>
      <c r="I13">
        <f>Tabelle!AD15</f>
        <v>1</v>
      </c>
      <c r="J13">
        <f>Tabelle!AF15</f>
        <v>2</v>
      </c>
      <c r="L13" t="s">
        <v>150</v>
      </c>
      <c r="M13">
        <f>Gruppen!$J15</f>
        <v>-5</v>
      </c>
      <c r="N13">
        <f>Gruppen!$G15</f>
        <v>0</v>
      </c>
      <c r="O13">
        <f>$D12*$E12*-1+$D15*$E15+$D16*$E16</f>
        <v>0</v>
      </c>
      <c r="P13">
        <f>$F12*$G12*-1+$F15*$G15+$F16*$G16</f>
        <v>0</v>
      </c>
      <c r="Q13">
        <f>$H12*$J12+$H15*$I15+$H16*$I16</f>
        <v>0</v>
      </c>
    </row>
    <row r="14" spans="2:22" x14ac:dyDescent="0.2">
      <c r="B14" t="s">
        <v>38</v>
      </c>
      <c r="C14" t="s">
        <v>149</v>
      </c>
      <c r="D14">
        <f>(Ränge2!V10=Ränge2!V12)*1</f>
        <v>0</v>
      </c>
      <c r="E14">
        <f>(3*Ränge2!C10+Ränge2!F10)-(3*Ränge2!C12+Ränge2!F12)</f>
        <v>3</v>
      </c>
      <c r="F14">
        <f>(Ränge2!AB10=Ränge2!AB12)*1</f>
        <v>0</v>
      </c>
      <c r="G14">
        <f>Tabelle!AD16-Tabelle!AF16</f>
        <v>1</v>
      </c>
      <c r="H14">
        <f>(Ränge2!AH10=Ränge2!AH12)*1</f>
        <v>0</v>
      </c>
      <c r="I14">
        <f>Tabelle!AD16</f>
        <v>1</v>
      </c>
      <c r="J14">
        <f>Tabelle!AF16</f>
        <v>0</v>
      </c>
      <c r="V14" s="224"/>
    </row>
    <row r="15" spans="2:22" x14ac:dyDescent="0.2">
      <c r="B15" t="s">
        <v>150</v>
      </c>
      <c r="C15" t="s">
        <v>28</v>
      </c>
      <c r="D15">
        <f>(Ränge2!V11=Ränge2!V13)*1</f>
        <v>0</v>
      </c>
      <c r="E15">
        <f>(3*Ränge2!C13+Ränge2!F13)-(3*Ränge2!C11+Ränge2!F11)</f>
        <v>-3</v>
      </c>
      <c r="F15">
        <f>(Ränge2!AB11=Ränge2!AB13)*1</f>
        <v>0</v>
      </c>
      <c r="G15">
        <f>Tabelle!AD17-Tabelle!AF17</f>
        <v>-3</v>
      </c>
      <c r="H15">
        <f>(Ränge2!AH11=Ränge2!AH13)*1</f>
        <v>0</v>
      </c>
      <c r="I15">
        <f>Tabelle!AD17</f>
        <v>0</v>
      </c>
      <c r="J15">
        <f>Tabelle!AF17</f>
        <v>3</v>
      </c>
      <c r="M15" t="s">
        <v>70</v>
      </c>
      <c r="N15" t="s">
        <v>71</v>
      </c>
      <c r="O15" t="s">
        <v>72</v>
      </c>
      <c r="P15" t="s">
        <v>73</v>
      </c>
      <c r="Q15" t="s">
        <v>74</v>
      </c>
      <c r="R15" t="s">
        <v>198</v>
      </c>
      <c r="V15" s="224"/>
    </row>
    <row r="16" spans="2:22" x14ac:dyDescent="0.2">
      <c r="B16" t="s">
        <v>150</v>
      </c>
      <c r="C16" t="s">
        <v>38</v>
      </c>
      <c r="D16">
        <f>(Ränge2!V13=Ränge2!V10)*1</f>
        <v>0</v>
      </c>
      <c r="E16">
        <f>(3*Ränge2!D13+Ränge2!G13)-(3*Ränge2!D10+Ränge2!G10)</f>
        <v>-3</v>
      </c>
      <c r="F16">
        <f>(Ränge2!AB13=Ränge2!AB10)*1</f>
        <v>0</v>
      </c>
      <c r="G16">
        <f>Tabelle!AD18-Tabelle!AF18</f>
        <v>-1</v>
      </c>
      <c r="H16">
        <f>(Ränge2!AH13=Ränge2!AH10)*1</f>
        <v>0</v>
      </c>
      <c r="I16">
        <f>Tabelle!AD18</f>
        <v>0</v>
      </c>
      <c r="J16">
        <f>Tabelle!AF18</f>
        <v>1</v>
      </c>
      <c r="L16" t="s">
        <v>11</v>
      </c>
      <c r="M16">
        <f>Gruppen!$J18</f>
        <v>4</v>
      </c>
      <c r="N16">
        <f>Gruppen!$G18</f>
        <v>6</v>
      </c>
      <c r="O16">
        <f>$D20*$E20+$D23*$E23+$D24*$E24*(-1)</f>
        <v>0</v>
      </c>
      <c r="P16">
        <f>$F20*$G20+$F23*$G23+$F24*$G24*(-1)</f>
        <v>0</v>
      </c>
      <c r="Q16">
        <f>$H20*$I20+$H23*$I23+$H24*$J24</f>
        <v>0</v>
      </c>
      <c r="V16" s="224"/>
    </row>
    <row r="17" spans="2:22" x14ac:dyDescent="0.2">
      <c r="B17" t="s">
        <v>28</v>
      </c>
      <c r="C17" t="s">
        <v>149</v>
      </c>
      <c r="D17">
        <f>(Ränge2!V11=Ränge2!V12)*1</f>
        <v>0</v>
      </c>
      <c r="E17">
        <f>(3*Ränge2!D11+Ränge2!G11)-(3*Ränge2!D12+Ränge2!G12)</f>
        <v>3</v>
      </c>
      <c r="F17">
        <f>(Ränge2!AB11=Ränge2!AB12)*1</f>
        <v>0</v>
      </c>
      <c r="G17">
        <f>Tabelle!AD19-Tabelle!AF19</f>
        <v>2</v>
      </c>
      <c r="H17">
        <f>(Ränge2!AH11=Ränge2!AH12)*1</f>
        <v>0</v>
      </c>
      <c r="I17">
        <f>Tabelle!AD19</f>
        <v>2</v>
      </c>
      <c r="J17">
        <f>Tabelle!AF19</f>
        <v>0</v>
      </c>
      <c r="L17" t="s">
        <v>151</v>
      </c>
      <c r="M17">
        <f>Gruppen!$J19</f>
        <v>-6</v>
      </c>
      <c r="N17">
        <f>Gruppen!$G19</f>
        <v>1</v>
      </c>
      <c r="O17">
        <f>$D20*$E20*(-1)+$D22*$E22*(-1)+$D25*$E25</f>
        <v>0</v>
      </c>
      <c r="P17">
        <f>$F20*$G20*(-1)+$F22*$G22*(-1)+$F25*$G25</f>
        <v>0</v>
      </c>
      <c r="Q17">
        <f>$H20*$J20+$H22*$J22+$H25*$I25</f>
        <v>0</v>
      </c>
      <c r="V17" s="224"/>
    </row>
    <row r="18" spans="2:22" x14ac:dyDescent="0.2">
      <c r="L18" t="s">
        <v>152</v>
      </c>
      <c r="M18">
        <f>Gruppen!$J20</f>
        <v>-2</v>
      </c>
      <c r="N18">
        <f>Gruppen!$G20</f>
        <v>3</v>
      </c>
      <c r="O18">
        <f>$D21*$E21+$D23*$E23*-1+$D25*$E25*-1</f>
        <v>0</v>
      </c>
      <c r="P18">
        <f>$F21*$G21+$F23*$G23*-1+$F25*$G25*-1</f>
        <v>0</v>
      </c>
      <c r="Q18">
        <f>$H21*$I21+$H23*$J23+$H25*$J25</f>
        <v>0</v>
      </c>
      <c r="V18" s="224"/>
    </row>
    <row r="19" spans="2:22" x14ac:dyDescent="0.2">
      <c r="D19" t="s">
        <v>63</v>
      </c>
      <c r="E19" t="s">
        <v>64</v>
      </c>
      <c r="F19" t="s">
        <v>65</v>
      </c>
      <c r="G19" t="s">
        <v>66</v>
      </c>
      <c r="H19" t="s">
        <v>67</v>
      </c>
      <c r="I19" t="s">
        <v>68</v>
      </c>
      <c r="J19" t="s">
        <v>69</v>
      </c>
      <c r="K19" t="s">
        <v>198</v>
      </c>
      <c r="L19" t="s">
        <v>153</v>
      </c>
      <c r="M19">
        <f>Gruppen!$J21</f>
        <v>4</v>
      </c>
      <c r="N19">
        <f>Gruppen!$G21</f>
        <v>5</v>
      </c>
      <c r="O19">
        <f>$D21*$E21*-1+$D22*$E22+$D24*$E24</f>
        <v>0</v>
      </c>
      <c r="P19">
        <f>$F21*$G21*-1+$F22*$G22+$F24*$G24</f>
        <v>0</v>
      </c>
      <c r="Q19">
        <f>$H21*$J21+$H22*$I22+$H24*$I24</f>
        <v>0</v>
      </c>
      <c r="V19" s="224"/>
    </row>
    <row r="20" spans="2:22" x14ac:dyDescent="0.2">
      <c r="B20" t="s">
        <v>11</v>
      </c>
      <c r="C20" t="s">
        <v>151</v>
      </c>
      <c r="D20">
        <f>(Ränge2!V16=Ränge2!V17)*1</f>
        <v>0</v>
      </c>
      <c r="E20">
        <f>(3*Ränge2!B16+Ränge2!E16)-(3*Ränge2!B17+Ränge2!E17)</f>
        <v>3</v>
      </c>
      <c r="F20">
        <f>(Ränge2!AB16=Ränge2!AB17)*1</f>
        <v>0</v>
      </c>
      <c r="G20">
        <f>Tabelle!M31-Tabelle!O31</f>
        <v>3</v>
      </c>
      <c r="H20">
        <f>(Ränge2!AH16=Ränge2!AH17)*1</f>
        <v>0</v>
      </c>
      <c r="I20">
        <f>Tabelle!M31</f>
        <v>3</v>
      </c>
      <c r="J20">
        <f>Tabelle!O31</f>
        <v>0</v>
      </c>
    </row>
    <row r="21" spans="2:22" x14ac:dyDescent="0.2">
      <c r="B21" t="s">
        <v>152</v>
      </c>
      <c r="C21" t="s">
        <v>153</v>
      </c>
      <c r="D21">
        <f>(Ränge2!V18=Ränge2!V19)*1</f>
        <v>0</v>
      </c>
      <c r="E21">
        <f>(3*Ränge2!B18+Ränge2!E18)-(3*Ränge2!B19+Ränge2!E19)</f>
        <v>-3</v>
      </c>
      <c r="F21">
        <f>(Ränge2!AB18=Ränge2!AB19)*1</f>
        <v>0</v>
      </c>
      <c r="G21">
        <f>Tabelle!M32-Tabelle!O32</f>
        <v>-2</v>
      </c>
      <c r="H21">
        <f>(Ränge2!AH18=Ränge2!AH19)*1</f>
        <v>0</v>
      </c>
      <c r="I21">
        <f>Tabelle!M32</f>
        <v>0</v>
      </c>
      <c r="J21">
        <f>Tabelle!O32</f>
        <v>2</v>
      </c>
    </row>
    <row r="22" spans="2:22" x14ac:dyDescent="0.2">
      <c r="B22" t="s">
        <v>153</v>
      </c>
      <c r="C22" t="s">
        <v>151</v>
      </c>
      <c r="D22">
        <f>(Ränge2!V17=Ränge2!V19)*1</f>
        <v>0</v>
      </c>
      <c r="E22">
        <f>(3*Ränge2!C19+Ränge2!F19)-(3*Ränge2!C17+Ränge2!F17)</f>
        <v>3</v>
      </c>
      <c r="F22">
        <f>(Ränge2!AB17=Ränge2!AB19)*1</f>
        <v>0</v>
      </c>
      <c r="G22">
        <f>Tabelle!M33-Tabelle!O33</f>
        <v>2</v>
      </c>
      <c r="H22">
        <f>(Ränge2!AH17=Ränge2!AH19)*1</f>
        <v>0</v>
      </c>
      <c r="I22">
        <f>Tabelle!M33</f>
        <v>2</v>
      </c>
      <c r="J22">
        <f>Tabelle!O33</f>
        <v>0</v>
      </c>
      <c r="L22" t="s">
        <v>154</v>
      </c>
      <c r="M22">
        <f>Gruppen!$J24</f>
        <v>3</v>
      </c>
      <c r="N22">
        <f>Gruppen!$G24</f>
        <v>5</v>
      </c>
      <c r="O22">
        <f>$D28*$E28+$D30*$E30+$D32*$E32*(-1)</f>
        <v>0</v>
      </c>
      <c r="P22">
        <f>$F28*$G28+$F30*$G30+$F32*$G32*(-1)</f>
        <v>0</v>
      </c>
      <c r="Q22">
        <f>$H28*$I28+$H30*$I30+$H32*$J32</f>
        <v>0</v>
      </c>
      <c r="R22" t="s">
        <v>198</v>
      </c>
    </row>
    <row r="23" spans="2:22" x14ac:dyDescent="0.2">
      <c r="B23" t="s">
        <v>11</v>
      </c>
      <c r="C23" t="s">
        <v>152</v>
      </c>
      <c r="D23">
        <f>(Ränge2!V16=Ränge2!V18)*1</f>
        <v>0</v>
      </c>
      <c r="E23">
        <f>(3*Ränge2!C16+Ränge2!F16)-(3*Ränge2!C18+Ränge2!F18)</f>
        <v>3</v>
      </c>
      <c r="F23">
        <f>(Ränge2!AB16=Ränge2!AB18)*1</f>
        <v>0</v>
      </c>
      <c r="G23">
        <f>Tabelle!M34-Tabelle!O34</f>
        <v>1</v>
      </c>
      <c r="H23">
        <f>(Ränge2!AH16=Ränge2!AH18)*1</f>
        <v>0</v>
      </c>
      <c r="I23">
        <f>Tabelle!M34</f>
        <v>2</v>
      </c>
      <c r="J23">
        <f>Tabelle!O34</f>
        <v>1</v>
      </c>
      <c r="L23" t="s">
        <v>36</v>
      </c>
      <c r="M23">
        <f>Gruppen!$J25</f>
        <v>-2</v>
      </c>
      <c r="N23">
        <f>Gruppen!$G25</f>
        <v>2</v>
      </c>
      <c r="O23">
        <f>$D28*$E28*(-1)+$D31*$E31*(-1)+$D33*$E33</f>
        <v>0</v>
      </c>
      <c r="P23">
        <f>$F28*$G28*(-1)+$F31*$G31*(-1)+$F33*$G33</f>
        <v>0</v>
      </c>
      <c r="Q23">
        <f>$H28*$J28+$H31*$J31+$H33*$I33</f>
        <v>0</v>
      </c>
    </row>
    <row r="24" spans="2:22" x14ac:dyDescent="0.2">
      <c r="B24" t="s">
        <v>153</v>
      </c>
      <c r="C24" t="s">
        <v>11</v>
      </c>
      <c r="D24">
        <f>(Ränge2!V16=Ränge2!V19)*1</f>
        <v>0</v>
      </c>
      <c r="E24">
        <f>(3*Ränge2!D19+Ränge2!G19)-(3*Ränge2!D16+Ränge2!G16)</f>
        <v>0</v>
      </c>
      <c r="F24">
        <f>(Ränge2!AB16=Ränge2!AB19)*1</f>
        <v>0</v>
      </c>
      <c r="G24">
        <f>Tabelle!M35-Tabelle!O35</f>
        <v>0</v>
      </c>
      <c r="H24">
        <f>(Ränge2!AH16=Ränge2!AH19)*1</f>
        <v>0</v>
      </c>
      <c r="I24">
        <f>Tabelle!M35</f>
        <v>1</v>
      </c>
      <c r="J24">
        <f>Tabelle!O35</f>
        <v>1</v>
      </c>
      <c r="L24" t="s">
        <v>30</v>
      </c>
      <c r="M24">
        <f>Gruppen!$J26</f>
        <v>0</v>
      </c>
      <c r="N24">
        <f>Gruppen!$G26</f>
        <v>4</v>
      </c>
      <c r="O24">
        <f>$D29*$E29+$D30*$E30*-1+$D33*$E33*-1</f>
        <v>0</v>
      </c>
      <c r="P24">
        <f>$F29*$G29+$F30*$G30*-1+$F33*$G33*-1</f>
        <v>0</v>
      </c>
      <c r="Q24">
        <f>$H29*$I29+$H30*$J30+$H33*$J33</f>
        <v>0</v>
      </c>
    </row>
    <row r="25" spans="2:22" x14ac:dyDescent="0.2">
      <c r="B25" t="s">
        <v>151</v>
      </c>
      <c r="C25" t="s">
        <v>152</v>
      </c>
      <c r="D25">
        <f>(Ränge2!V17=Ränge2!V28)*1</f>
        <v>0</v>
      </c>
      <c r="E25">
        <f>(3*Ränge2!D17+Ränge2!G17)-(3*Ränge2!D18+Ränge2!G18)</f>
        <v>-3</v>
      </c>
      <c r="F25">
        <f>(Ränge2!AB17=Ränge2!AB28)*1</f>
        <v>0</v>
      </c>
      <c r="G25">
        <f>Tabelle!M36-Tabelle!O36</f>
        <v>-1</v>
      </c>
      <c r="H25">
        <f>(Ränge2!AH17=Ränge2!AH28)*1</f>
        <v>0</v>
      </c>
      <c r="I25">
        <f>Tabelle!M36</f>
        <v>1</v>
      </c>
      <c r="J25">
        <f>Tabelle!O36</f>
        <v>2</v>
      </c>
      <c r="L25" t="s">
        <v>155</v>
      </c>
      <c r="M25">
        <f>Gruppen!$J27</f>
        <v>-1</v>
      </c>
      <c r="N25">
        <f>Gruppen!$G27</f>
        <v>3</v>
      </c>
      <c r="O25">
        <f>$D29*$E29*-1+$D31*$E31+$D32*$E32</f>
        <v>0</v>
      </c>
      <c r="P25">
        <f>$F29*$G29*-1+$F31*$G31+$F32*$G32</f>
        <v>0</v>
      </c>
      <c r="Q25">
        <f>$H29*$J29+$H31*$I31+$H32*$I32</f>
        <v>0</v>
      </c>
    </row>
    <row r="27" spans="2:22" x14ac:dyDescent="0.2">
      <c r="D27" t="s">
        <v>63</v>
      </c>
      <c r="E27" t="s">
        <v>64</v>
      </c>
      <c r="F27" t="s">
        <v>65</v>
      </c>
      <c r="G27" t="s">
        <v>66</v>
      </c>
      <c r="H27" t="s">
        <v>67</v>
      </c>
      <c r="I27" t="s">
        <v>68</v>
      </c>
      <c r="J27" t="s">
        <v>69</v>
      </c>
      <c r="K27" t="s">
        <v>198</v>
      </c>
    </row>
    <row r="28" spans="2:22" x14ac:dyDescent="0.2">
      <c r="B28" t="s">
        <v>154</v>
      </c>
      <c r="C28" t="s">
        <v>36</v>
      </c>
      <c r="D28">
        <f>(Ränge2!V22=Ränge2!V23)*1</f>
        <v>0</v>
      </c>
      <c r="E28">
        <f>(3*Ränge2!B22+Ränge2!E22)-(3*Ränge2!B23+Ränge2!E23)</f>
        <v>3</v>
      </c>
      <c r="F28">
        <f>(Ränge2!AB22=Ränge2!AB23)*1</f>
        <v>0</v>
      </c>
      <c r="G28">
        <f>Tabelle!AD31-Tabelle!AF31</f>
        <v>1</v>
      </c>
      <c r="H28">
        <f>(Ränge2!AH22=Ränge2!AH23)*1</f>
        <v>0</v>
      </c>
      <c r="I28">
        <f>Tabelle!AD31</f>
        <v>1</v>
      </c>
      <c r="J28">
        <f>Tabelle!AF31</f>
        <v>0</v>
      </c>
      <c r="L28" t="s">
        <v>156</v>
      </c>
      <c r="M28">
        <f>Gruppen!$J30</f>
        <v>4</v>
      </c>
      <c r="N28">
        <f>Gruppen!$G30</f>
        <v>6</v>
      </c>
      <c r="O28">
        <f>$D37*$E37+$D38*$E38+$D40*$E40*(-1)</f>
        <v>0</v>
      </c>
      <c r="P28">
        <f>$F37*$G37+$F38*$G38+$F40*$G40*(-1)</f>
        <v>0</v>
      </c>
      <c r="Q28">
        <f>$H37*$I37+$H38*$I38+$H40*$J40</f>
        <v>0</v>
      </c>
    </row>
    <row r="29" spans="2:22" x14ac:dyDescent="0.2">
      <c r="B29" t="s">
        <v>30</v>
      </c>
      <c r="C29" t="s">
        <v>155</v>
      </c>
      <c r="D29">
        <f>(Ränge2!V24=Ränge2!V25)*1</f>
        <v>0</v>
      </c>
      <c r="E29">
        <f>(3*Ränge2!B24+Ränge2!E24)-(3*Ränge2!B25+Ränge2!E25)</f>
        <v>0</v>
      </c>
      <c r="F29">
        <f>(Ränge2!AB24=Ränge2!AB25)*1</f>
        <v>0</v>
      </c>
      <c r="G29">
        <f>Tabelle!AD32-Tabelle!AF32</f>
        <v>0</v>
      </c>
      <c r="H29">
        <f>(Ränge2!AH24=Ränge2!AH25)*1</f>
        <v>0</v>
      </c>
      <c r="I29">
        <f>Tabelle!AD32</f>
        <v>1</v>
      </c>
      <c r="J29">
        <f>Tabelle!AF32</f>
        <v>1</v>
      </c>
      <c r="L29" t="s">
        <v>15</v>
      </c>
      <c r="M29">
        <f>Gruppen!$J31</f>
        <v>0</v>
      </c>
      <c r="N29">
        <f>Gruppen!$G31</f>
        <v>4</v>
      </c>
      <c r="O29">
        <f>$D37*$E37*(-1)+$D39*$E39*(-1)+$D41*$E41</f>
        <v>0</v>
      </c>
      <c r="P29">
        <f>$F37*$G37*(-1)+$F39*$G39*(-1)+$F41*$G41</f>
        <v>0</v>
      </c>
      <c r="Q29">
        <f>$H37*$J37+$H39*$J39+$H41*$I41</f>
        <v>0</v>
      </c>
    </row>
    <row r="30" spans="2:22" x14ac:dyDescent="0.2">
      <c r="B30" t="s">
        <v>154</v>
      </c>
      <c r="C30" t="s">
        <v>30</v>
      </c>
      <c r="D30">
        <f>(Ränge2!V22=Ränge2!V24)*1</f>
        <v>0</v>
      </c>
      <c r="E30">
        <f>(3*Ränge2!C22+Ränge2!F22)-(3*Ränge2!C24+Ränge2!F24)</f>
        <v>3</v>
      </c>
      <c r="F30">
        <f>(Ränge2!AB22=Ränge2!AB24)*1</f>
        <v>0</v>
      </c>
      <c r="G30">
        <f>Tabelle!AD33-Tabelle!AF33</f>
        <v>1</v>
      </c>
      <c r="H30">
        <f>(Ränge2!AH22=Ränge2!AH24)*1</f>
        <v>0</v>
      </c>
      <c r="I30">
        <f>Tabelle!AD33</f>
        <v>2</v>
      </c>
      <c r="J30">
        <f>Tabelle!AF33</f>
        <v>1</v>
      </c>
      <c r="L30" t="s">
        <v>157</v>
      </c>
      <c r="M30">
        <f>Gruppen!$J32</f>
        <v>-1</v>
      </c>
      <c r="N30">
        <f>Gruppen!$G32</f>
        <v>3</v>
      </c>
      <c r="O30">
        <f>$D36*$E36+$D38*$E38*-1+$D41*$E41*-1</f>
        <v>0</v>
      </c>
      <c r="P30">
        <f>$F36*$G36+$F38*$G38*-1+$F41*$G41*-1</f>
        <v>0</v>
      </c>
      <c r="Q30">
        <f>$H36*$I36+$H38*$J38+$H41*$J41</f>
        <v>0</v>
      </c>
    </row>
    <row r="31" spans="2:22" x14ac:dyDescent="0.2">
      <c r="B31" t="s">
        <v>155</v>
      </c>
      <c r="C31" t="s">
        <v>36</v>
      </c>
      <c r="D31">
        <f>(Ränge2!V25=Ränge2!V23)*1</f>
        <v>0</v>
      </c>
      <c r="E31">
        <f>(3*Ränge2!C25+Ränge2!F25)-(3*Ränge2!C23+Ränge2!F23)</f>
        <v>0</v>
      </c>
      <c r="F31">
        <f>(Ränge2!AB25=Ränge2!AB23)*1</f>
        <v>0</v>
      </c>
      <c r="G31">
        <f>Tabelle!AD34-Tabelle!AF34</f>
        <v>0</v>
      </c>
      <c r="H31">
        <f>(Ränge2!AH25=Ränge2!AH23)*1</f>
        <v>0</v>
      </c>
      <c r="I31">
        <f>Tabelle!AD34</f>
        <v>1</v>
      </c>
      <c r="J31">
        <f>Tabelle!AF34</f>
        <v>1</v>
      </c>
      <c r="L31" t="s">
        <v>158</v>
      </c>
      <c r="M31">
        <f>Gruppen!$J33</f>
        <v>-3</v>
      </c>
      <c r="N31">
        <f>Gruppen!$G33</f>
        <v>1</v>
      </c>
      <c r="O31">
        <f>$D36*$E36*-1+$D39*$E39+$D40*$E40</f>
        <v>0</v>
      </c>
      <c r="P31">
        <f>$F36*$G36*-1+$F39*$G39+$F40*$G40</f>
        <v>0</v>
      </c>
      <c r="Q31">
        <f>$H36*$J36+$H39*$I39+$H40*$I40</f>
        <v>0</v>
      </c>
    </row>
    <row r="32" spans="2:22" x14ac:dyDescent="0.2">
      <c r="B32" t="s">
        <v>155</v>
      </c>
      <c r="C32" t="s">
        <v>154</v>
      </c>
      <c r="D32">
        <f>(Ränge2!V25=Ränge2!V22)*1</f>
        <v>0</v>
      </c>
      <c r="E32">
        <f>(3*Ränge2!D25+Ränge2!G25)-(3*Ränge2!D22+Ränge2!G22)</f>
        <v>-3</v>
      </c>
      <c r="F32">
        <f>(Ränge2!AB25=Ränge2!AB22)*1</f>
        <v>0</v>
      </c>
      <c r="G32">
        <f>Tabelle!AD35-Tabelle!AF35</f>
        <v>-1</v>
      </c>
      <c r="H32">
        <f>(Ränge2!AH25=Ränge2!AH22)*1</f>
        <v>0</v>
      </c>
      <c r="I32">
        <f>Tabelle!AD35</f>
        <v>1</v>
      </c>
      <c r="J32">
        <f>Tabelle!AF35</f>
        <v>2</v>
      </c>
    </row>
    <row r="33" spans="2:17" x14ac:dyDescent="0.2">
      <c r="B33" t="s">
        <v>36</v>
      </c>
      <c r="C33" t="s">
        <v>30</v>
      </c>
      <c r="D33">
        <f>(Ränge2!V23=Ränge2!V24)*1</f>
        <v>0</v>
      </c>
      <c r="E33">
        <f>(3*Ränge2!D23+Ränge2!G23)-(3*Ränge2!D24+Ränge2!G24)</f>
        <v>-3</v>
      </c>
      <c r="F33">
        <f>(Ränge2!AB23=Ränge2!AB24)*1</f>
        <v>0</v>
      </c>
      <c r="G33">
        <f>Tabelle!AD36-Tabelle!AF36</f>
        <v>-1</v>
      </c>
      <c r="H33">
        <f>(Ränge2!AH23=Ränge2!AH24)*1</f>
        <v>0</v>
      </c>
      <c r="I33">
        <f>Tabelle!AD36</f>
        <v>1</v>
      </c>
      <c r="J33">
        <f>Tabelle!AF36</f>
        <v>2</v>
      </c>
    </row>
    <row r="34" spans="2:17" x14ac:dyDescent="0.2">
      <c r="L34" t="s">
        <v>196</v>
      </c>
      <c r="M34">
        <f>Gruppen!$J36</f>
        <v>4</v>
      </c>
      <c r="N34">
        <f>Gruppen!$G36</f>
        <v>4</v>
      </c>
      <c r="O34">
        <f>$D44*$E44+$D47*$E47+$D48*$E48*(-1)</f>
        <v>0</v>
      </c>
      <c r="P34">
        <f>$F44*$G44+$F47*$G47+$F48*$G48*(-1)</f>
        <v>0</v>
      </c>
      <c r="Q34">
        <f>$H44*$I44+$H47*$I47+$H48*$J48</f>
        <v>0</v>
      </c>
    </row>
    <row r="35" spans="2:17" x14ac:dyDescent="0.2">
      <c r="D35" t="s">
        <v>63</v>
      </c>
      <c r="E35" t="s">
        <v>64</v>
      </c>
      <c r="F35" t="s">
        <v>65</v>
      </c>
      <c r="G35" t="s">
        <v>66</v>
      </c>
      <c r="H35" t="s">
        <v>67</v>
      </c>
      <c r="I35" t="s">
        <v>68</v>
      </c>
      <c r="J35" t="s">
        <v>69</v>
      </c>
      <c r="K35" t="s">
        <v>198</v>
      </c>
      <c r="L35" t="s">
        <v>159</v>
      </c>
      <c r="M35">
        <f>Gruppen!$J37</f>
        <v>-1</v>
      </c>
      <c r="N35">
        <f>Gruppen!$G37</f>
        <v>1</v>
      </c>
      <c r="O35">
        <f>$D44*$E44*(-1)+$D46*$E46*(-1)+$D49*$E49</f>
        <v>0</v>
      </c>
      <c r="P35">
        <f>$F44*$G44*(-1)+$F46*$G46*(-1)+$F49*$G49</f>
        <v>0</v>
      </c>
      <c r="Q35">
        <f>$H44*$J44+$H46*$J46+$H49*$I49</f>
        <v>0</v>
      </c>
    </row>
    <row r="36" spans="2:17" x14ac:dyDescent="0.2">
      <c r="B36" t="s">
        <v>157</v>
      </c>
      <c r="C36" t="s">
        <v>158</v>
      </c>
      <c r="D36">
        <f>(Ränge2!V30=Ränge2!V31)*1</f>
        <v>0</v>
      </c>
      <c r="E36">
        <f>(3*Ränge2!B30+Ränge2!E30)-(3*Ränge2!B31+Ränge2!E31)</f>
        <v>3</v>
      </c>
      <c r="F36">
        <f>(Ränge2!AB30=Ränge2!AB31)*1</f>
        <v>0</v>
      </c>
      <c r="G36">
        <f>Tabelle!M48-Tabelle!O48</f>
        <v>1</v>
      </c>
      <c r="H36">
        <f>(Ränge2!AH30=Ränge2!AH31)*1</f>
        <v>0</v>
      </c>
      <c r="I36">
        <f>Tabelle!M48</f>
        <v>1</v>
      </c>
      <c r="J36">
        <f>Tabelle!O48</f>
        <v>0</v>
      </c>
      <c r="L36" t="s">
        <v>37</v>
      </c>
      <c r="M36">
        <f>Gruppen!$J38</f>
        <v>2</v>
      </c>
      <c r="N36">
        <f>Gruppen!$G38</f>
        <v>3</v>
      </c>
      <c r="O36">
        <f>$D45*$E45+$D47*$E47*-1+$D49*$E49*-1</f>
        <v>0</v>
      </c>
      <c r="P36">
        <f>$F45*$G45+$F47*$G47*-1+$F49*$G49*-1</f>
        <v>0</v>
      </c>
      <c r="Q36">
        <f>$H45*$I45+$H47*$J47+$H49*$J49</f>
        <v>0</v>
      </c>
    </row>
    <row r="37" spans="2:17" x14ac:dyDescent="0.2">
      <c r="B37" t="s">
        <v>156</v>
      </c>
      <c r="C37" t="s">
        <v>15</v>
      </c>
      <c r="D37">
        <f>(Ränge2!V28=Ränge2!V29)*1</f>
        <v>0</v>
      </c>
      <c r="E37">
        <f>(3*Ränge2!B28+Ränge2!E28)-(3*Ränge2!B29+Ränge2!E29)</f>
        <v>3</v>
      </c>
      <c r="F37">
        <f>(Ränge2!AB28=Ränge2!AB29)*1</f>
        <v>0</v>
      </c>
      <c r="G37">
        <f>Tabelle!M49-Tabelle!O49</f>
        <v>1</v>
      </c>
      <c r="H37">
        <f>(Ränge2!AH28=Ränge2!AH29)*1</f>
        <v>0</v>
      </c>
      <c r="I37">
        <f>Tabelle!M49</f>
        <v>2</v>
      </c>
      <c r="J37">
        <f>Tabelle!O49</f>
        <v>1</v>
      </c>
      <c r="L37" t="s">
        <v>160</v>
      </c>
      <c r="M37">
        <f>Gruppen!$J39</f>
        <v>-5</v>
      </c>
      <c r="N37">
        <f>Gruppen!$G39</f>
        <v>0</v>
      </c>
      <c r="O37">
        <f>$D45*$E45*-1+$D46*$E46+$D48*$E48</f>
        <v>0</v>
      </c>
      <c r="P37">
        <f>$F45*$G45*-1+$F46*$G46+$F48*$G48</f>
        <v>0</v>
      </c>
      <c r="Q37">
        <f>$H45*$J45+$H46*$I46+$H48*$I48</f>
        <v>0</v>
      </c>
    </row>
    <row r="38" spans="2:17" x14ac:dyDescent="0.2">
      <c r="B38" t="s">
        <v>156</v>
      </c>
      <c r="C38" t="s">
        <v>157</v>
      </c>
      <c r="D38">
        <f>(Ränge2!V28=Ränge2!V30)*1</f>
        <v>0</v>
      </c>
      <c r="E38">
        <f>(3*Ränge2!C28+Ränge2!F28)-(3*Ränge2!C30+Ränge2!F30)</f>
        <v>3</v>
      </c>
      <c r="F38">
        <f>(Ränge2!AB28=Ränge2!AB30)*1</f>
        <v>0</v>
      </c>
      <c r="G38">
        <f>Tabelle!M50-Tabelle!O50</f>
        <v>1</v>
      </c>
      <c r="H38">
        <f>(Ränge2!AH28=Ränge2!AH30)*1</f>
        <v>0</v>
      </c>
      <c r="I38">
        <f>Tabelle!M50</f>
        <v>2</v>
      </c>
      <c r="J38">
        <f>Tabelle!O50</f>
        <v>1</v>
      </c>
    </row>
    <row r="39" spans="2:17" x14ac:dyDescent="0.2">
      <c r="B39" t="s">
        <v>158</v>
      </c>
      <c r="C39" t="s">
        <v>15</v>
      </c>
      <c r="D39">
        <f>(Ränge2!V29=Ränge2!V31)*1</f>
        <v>0</v>
      </c>
      <c r="E39">
        <f>(3*Ränge2!C31+Ränge2!F31)-(3*Ränge2!C29+Ränge2!F29)</f>
        <v>0</v>
      </c>
      <c r="F39">
        <f>(Ränge2!AB29=Ränge2!AB31)*1</f>
        <v>0</v>
      </c>
      <c r="G39">
        <f>Tabelle!M51-Tabelle!O51</f>
        <v>0</v>
      </c>
      <c r="H39">
        <f>(Ränge2!AH29=Ränge2!AH31)*1</f>
        <v>0</v>
      </c>
      <c r="I39">
        <f>Tabelle!M51</f>
        <v>1</v>
      </c>
      <c r="J39">
        <f>Tabelle!O51</f>
        <v>1</v>
      </c>
    </row>
    <row r="40" spans="2:17" x14ac:dyDescent="0.2">
      <c r="B40" t="s">
        <v>158</v>
      </c>
      <c r="C40" t="s">
        <v>156</v>
      </c>
      <c r="D40">
        <f>(Ränge2!V31=Ränge2!V28)*1</f>
        <v>0</v>
      </c>
      <c r="E40">
        <f>(3*Ränge2!D31+Ränge2!G31)-(3*Ränge2!D28+Ränge2!G28)</f>
        <v>-3</v>
      </c>
      <c r="F40">
        <f>(Ränge2!AB31=Ränge2!AB28)*1</f>
        <v>0</v>
      </c>
      <c r="G40">
        <f>Tabelle!M52-Tabelle!O52</f>
        <v>-2</v>
      </c>
      <c r="H40">
        <f>(Ränge2!AH31=Ränge2!AH28)*1</f>
        <v>0</v>
      </c>
      <c r="I40">
        <f>Tabelle!M52</f>
        <v>0</v>
      </c>
      <c r="J40">
        <f>Tabelle!O52</f>
        <v>2</v>
      </c>
      <c r="L40" t="s">
        <v>35</v>
      </c>
      <c r="M40">
        <f>Gruppen!$J42</f>
        <v>5</v>
      </c>
      <c r="N40">
        <f>Gruppen!$G42</f>
        <v>6</v>
      </c>
      <c r="O40">
        <f>$D52*$E52+$D54*$E54+$D56*$E56*(-1)</f>
        <v>0</v>
      </c>
      <c r="P40">
        <f>$F52*$G52+$F54*$G54+$F56*$G56*(-1)</f>
        <v>0</v>
      </c>
      <c r="Q40">
        <f>$H52*$I52+$H54*$I54+$H56*$J56</f>
        <v>0</v>
      </c>
    </row>
    <row r="41" spans="2:17" x14ac:dyDescent="0.2">
      <c r="B41" t="s">
        <v>15</v>
      </c>
      <c r="C41" t="s">
        <v>157</v>
      </c>
      <c r="D41">
        <f>(Ränge2!V29=Ränge2!V30)*1</f>
        <v>0</v>
      </c>
      <c r="E41">
        <f>(3*Ränge2!D29+Ränge2!G29)-(3*Ränge2!D30+Ränge2!G30)</f>
        <v>3</v>
      </c>
      <c r="F41">
        <f>(Ränge2!AB29=Ränge2!AB30)*1</f>
        <v>0</v>
      </c>
      <c r="G41">
        <f>Tabelle!M53-Tabelle!O53</f>
        <v>1</v>
      </c>
      <c r="H41">
        <f>(Ränge2!AH29=Ränge2!AH30)*1</f>
        <v>0</v>
      </c>
      <c r="I41">
        <f>Tabelle!M53</f>
        <v>2</v>
      </c>
      <c r="J41">
        <f>Tabelle!O53</f>
        <v>1</v>
      </c>
      <c r="L41" t="s">
        <v>163</v>
      </c>
      <c r="M41">
        <f>Gruppen!$J43</f>
        <v>-4</v>
      </c>
      <c r="N41">
        <f>Gruppen!$G43</f>
        <v>2</v>
      </c>
      <c r="O41">
        <f>$D52*$E52*(-1)+$D55*$E55*(-1)+$D57*$E57</f>
        <v>0</v>
      </c>
      <c r="P41">
        <f>$F52*$G52*(-1)+$F55*$G55*(-1)+$F57*$G57</f>
        <v>0</v>
      </c>
      <c r="Q41">
        <f>$H52*$J52+$H55*$J55+$H57*$I57</f>
        <v>0</v>
      </c>
    </row>
    <row r="42" spans="2:17" x14ac:dyDescent="0.2">
      <c r="L42" t="s">
        <v>164</v>
      </c>
      <c r="M42">
        <f>Gruppen!$J44</f>
        <v>-3</v>
      </c>
      <c r="N42">
        <f>Gruppen!$G44</f>
        <v>1</v>
      </c>
      <c r="O42">
        <f>$D53*$E53+$D54*$E54*-1+$D57*$E57*-1</f>
        <v>0</v>
      </c>
      <c r="P42">
        <f>$F53*$G53+$F54*$G54*-1+$F57*$G57*-1</f>
        <v>0</v>
      </c>
      <c r="Q42">
        <f>$H53*$I53+$H54*$J54+$H57*$J57</f>
        <v>0</v>
      </c>
    </row>
    <row r="43" spans="2:17" x14ac:dyDescent="0.2">
      <c r="L43" t="s">
        <v>18</v>
      </c>
      <c r="M43">
        <f>Gruppen!$J45</f>
        <v>2</v>
      </c>
      <c r="N43">
        <f>Gruppen!$G45</f>
        <v>4</v>
      </c>
      <c r="O43">
        <f>$D53*$E53*-1+$D55*$E55+$D56*$E56</f>
        <v>0</v>
      </c>
      <c r="P43">
        <f>$F53*$G53*-1+$F55*$G55+$F56*$G56</f>
        <v>0</v>
      </c>
      <c r="Q43">
        <f>$H53*$J53+$H55*$I55+$H56*$I56</f>
        <v>0</v>
      </c>
    </row>
    <row r="44" spans="2:17" x14ac:dyDescent="0.2">
      <c r="B44" t="s">
        <v>27</v>
      </c>
      <c r="C44" t="s">
        <v>159</v>
      </c>
      <c r="D44">
        <f>(Ränge2!V34=Ränge2!V35)*1</f>
        <v>0</v>
      </c>
      <c r="E44">
        <f>(3*Ränge2!B34+Ränge2!E34)-(3*Ränge2!B35+Ränge2!E35)</f>
        <v>3</v>
      </c>
      <c r="F44">
        <f>(Ränge2!AB34=Ränge2!AB35)*1</f>
        <v>0</v>
      </c>
      <c r="G44">
        <f>Tabelle!AD48-Tabelle!AF48</f>
        <v>1</v>
      </c>
      <c r="H44">
        <f>(Ränge2!AH34=Ränge2!AH35)*1</f>
        <v>0</v>
      </c>
      <c r="I44">
        <f>Tabelle!AD48</f>
        <v>1</v>
      </c>
      <c r="J44">
        <f>Tabelle!AF48</f>
        <v>0</v>
      </c>
      <c r="K44" t="s">
        <v>198</v>
      </c>
    </row>
    <row r="45" spans="2:17" x14ac:dyDescent="0.2">
      <c r="B45" t="s">
        <v>37</v>
      </c>
      <c r="C45" t="s">
        <v>160</v>
      </c>
      <c r="D45">
        <f>(Ränge2!V36=Ränge2!V37)*1</f>
        <v>0</v>
      </c>
      <c r="E45">
        <f>(3*Ränge2!B36+Ränge2!E36)-(3*Ränge2!B37+Ränge2!E37)</f>
        <v>3</v>
      </c>
      <c r="F45">
        <f>(Ränge2!AB36=Ränge2!AB37)*1</f>
        <v>0</v>
      </c>
      <c r="G45">
        <f>Tabelle!AD49-Tabelle!AF49</f>
        <v>2</v>
      </c>
      <c r="H45">
        <f>(Ränge2!AH36=Ränge2!AH37)*1</f>
        <v>0</v>
      </c>
      <c r="I45">
        <f>Tabelle!AD49</f>
        <v>2</v>
      </c>
      <c r="J45">
        <f>Tabelle!AF49</f>
        <v>0</v>
      </c>
    </row>
    <row r="46" spans="2:17" x14ac:dyDescent="0.2">
      <c r="B46" t="s">
        <v>160</v>
      </c>
      <c r="C46" t="s">
        <v>159</v>
      </c>
      <c r="D46">
        <f>(Ränge2!V37=Ränge2!V35)*1</f>
        <v>0</v>
      </c>
      <c r="E46">
        <f>(3*Ränge2!C37+Ränge2!F37)-(3*Ränge2!C35+Ränge2!F35)</f>
        <v>-3</v>
      </c>
      <c r="F46">
        <f>(Ränge2!AB37=Ränge2!AB35)*1</f>
        <v>0</v>
      </c>
      <c r="G46">
        <f>Tabelle!AD50-Tabelle!AF50</f>
        <v>-1</v>
      </c>
      <c r="H46">
        <f>(Ränge2!AH37=Ränge2!AH35)*1</f>
        <v>0</v>
      </c>
      <c r="I46">
        <f>Tabelle!AD50</f>
        <v>0</v>
      </c>
      <c r="J46">
        <f>Tabelle!AF50</f>
        <v>1</v>
      </c>
      <c r="L46" t="s">
        <v>29</v>
      </c>
      <c r="M46">
        <f>Gruppen!$J48</f>
        <v>0</v>
      </c>
      <c r="N46">
        <f>Gruppen!$G48</f>
        <v>3</v>
      </c>
      <c r="O46">
        <f>$D61*$E61+$D63*$E63+$D64*$E64*(-1)</f>
        <v>0</v>
      </c>
      <c r="P46">
        <f>$F61*$G61+$F63*$G63+$F64*$G64*(-1)</f>
        <v>0</v>
      </c>
      <c r="Q46">
        <f>$H61*$I61+$H63*$I63+$H64*$J64</f>
        <v>0</v>
      </c>
    </row>
    <row r="47" spans="2:17" x14ac:dyDescent="0.2">
      <c r="B47" t="s">
        <v>27</v>
      </c>
      <c r="C47" t="s">
        <v>37</v>
      </c>
      <c r="D47">
        <f>(Ränge2!V34=Ränge2!V36)*1</f>
        <v>0</v>
      </c>
      <c r="E47">
        <f>(3*Ränge2!C34+Ränge2!F34)-(3*Ränge2!C36+Ränge2!F36)</f>
        <v>3</v>
      </c>
      <c r="F47">
        <f>(Ränge2!AB34=Ränge2!AB36)*1</f>
        <v>0</v>
      </c>
      <c r="G47">
        <f>Tabelle!AD51-Tabelle!AF51</f>
        <v>1</v>
      </c>
      <c r="H47">
        <f>(Ränge2!AH34=Ränge2!AH36)*1</f>
        <v>0</v>
      </c>
      <c r="I47">
        <f>Tabelle!AD51</f>
        <v>1</v>
      </c>
      <c r="J47">
        <f>Tabelle!AF51</f>
        <v>0</v>
      </c>
      <c r="L47" t="s">
        <v>165</v>
      </c>
      <c r="M47">
        <f>Gruppen!$J49</f>
        <v>1</v>
      </c>
      <c r="N47">
        <f>Gruppen!$G49</f>
        <v>4</v>
      </c>
      <c r="O47">
        <f>$D61*$E61*(-1)+$D62*$E62*(-1)+$D65*$E65</f>
        <v>0</v>
      </c>
      <c r="P47">
        <f>$F61*$G61*(-1)+$F62*$G62*(-1)+$F65*$G65</f>
        <v>0</v>
      </c>
      <c r="Q47">
        <f>$H61*$J61+$H62*$J62+$H65*$I65</f>
        <v>0</v>
      </c>
    </row>
    <row r="48" spans="2:17" x14ac:dyDescent="0.2">
      <c r="B48" t="s">
        <v>160</v>
      </c>
      <c r="C48" t="s">
        <v>27</v>
      </c>
      <c r="D48">
        <f>(Ränge2!V37=Ränge2!V34)*1</f>
        <v>0</v>
      </c>
      <c r="E48">
        <f>(3*Ränge2!D37+Ränge2!G37)-(3*Ränge2!D34+Ränge2!G34)</f>
        <v>-3</v>
      </c>
      <c r="F48">
        <f>(Ränge2!AB37=Ränge2!AB34)*1</f>
        <v>0</v>
      </c>
      <c r="G48">
        <f>Tabelle!AD52-Tabelle!AF52</f>
        <v>-2</v>
      </c>
      <c r="H48">
        <f>(Ränge2!AH37=Ränge2!AH34)*1</f>
        <v>0</v>
      </c>
      <c r="I48">
        <f>Tabelle!AD52</f>
        <v>0</v>
      </c>
      <c r="J48">
        <f>Tabelle!AF52</f>
        <v>2</v>
      </c>
      <c r="L48" t="s">
        <v>166</v>
      </c>
      <c r="M48">
        <f>Gruppen!$J50</f>
        <v>4</v>
      </c>
      <c r="N48">
        <f>Gruppen!$G50</f>
        <v>7</v>
      </c>
      <c r="O48">
        <f>$D60*$E60+$D63*$E63*-1+$D65*$E65*-1</f>
        <v>0</v>
      </c>
      <c r="P48">
        <f>$F60*$G60+$F63*$G63*-1+$F65*$G65*-1</f>
        <v>0</v>
      </c>
      <c r="Q48">
        <f>$H60*$I60+$H63*$J63+$H65*$J65</f>
        <v>0</v>
      </c>
    </row>
    <row r="49" spans="2:17" x14ac:dyDescent="0.2">
      <c r="B49" t="s">
        <v>159</v>
      </c>
      <c r="C49" t="s">
        <v>37</v>
      </c>
      <c r="D49">
        <f>(Ränge2!V35=Ränge2!V36)*1</f>
        <v>0</v>
      </c>
      <c r="E49">
        <f>(3*Ränge2!D35+Ränge2!G35)-(3*Ränge2!D36+Ränge2!G36)</f>
        <v>-3</v>
      </c>
      <c r="F49">
        <f>(Ränge2!AB35=Ränge2!AB36)*1</f>
        <v>0</v>
      </c>
      <c r="G49">
        <f>Tabelle!AD53-Tabelle!AF53</f>
        <v>-1</v>
      </c>
      <c r="H49">
        <f>(Ränge2!AH35=Ränge2!AH36)*1</f>
        <v>0</v>
      </c>
      <c r="I49">
        <f>Tabelle!AD53</f>
        <v>0</v>
      </c>
      <c r="J49">
        <f>Tabelle!AF53</f>
        <v>1</v>
      </c>
      <c r="L49" t="s">
        <v>167</v>
      </c>
      <c r="M49">
        <f>Gruppen!$J51</f>
        <v>-5</v>
      </c>
      <c r="N49">
        <f>Gruppen!$G51</f>
        <v>1</v>
      </c>
      <c r="O49">
        <f>$D60*$E60*-1+$D62*$E62+$D64*$E64</f>
        <v>0</v>
      </c>
      <c r="P49">
        <f>$F60*$G60*-1+$F62*$G62+$F64*$G64</f>
        <v>0</v>
      </c>
      <c r="Q49">
        <f>$H60*$J60+$H62*$I62+$H64*$I64</f>
        <v>0</v>
      </c>
    </row>
    <row r="51" spans="2:17" x14ac:dyDescent="0.2">
      <c r="D51" t="s">
        <v>63</v>
      </c>
      <c r="E51" t="s">
        <v>64</v>
      </c>
      <c r="F51" t="s">
        <v>65</v>
      </c>
      <c r="G51" t="s">
        <v>66</v>
      </c>
      <c r="H51" t="s">
        <v>67</v>
      </c>
      <c r="I51" t="s">
        <v>68</v>
      </c>
      <c r="J51" t="s">
        <v>69</v>
      </c>
      <c r="K51" t="s">
        <v>198</v>
      </c>
    </row>
    <row r="52" spans="2:17" x14ac:dyDescent="0.2">
      <c r="B52" t="s">
        <v>35</v>
      </c>
      <c r="C52" t="s">
        <v>163</v>
      </c>
      <c r="D52">
        <f>(Ränge2!V40=Ränge2!V41)*1</f>
        <v>0</v>
      </c>
      <c r="E52">
        <f>(3*Ränge2!B40+Ränge2!E40)-(3*Ränge2!B41+Ränge2!E41)</f>
        <v>3</v>
      </c>
      <c r="F52">
        <f>(Ränge2!AB40=Ränge2!AB41)*1</f>
        <v>0</v>
      </c>
      <c r="G52">
        <f>Tabelle!M65-Tabelle!O65</f>
        <v>3</v>
      </c>
      <c r="H52">
        <f>(Ränge2!AH40=Ränge2!AH41)*1</f>
        <v>0</v>
      </c>
      <c r="I52">
        <f>Tabelle!M65</f>
        <v>3</v>
      </c>
      <c r="J52">
        <f>Tabelle!O65</f>
        <v>0</v>
      </c>
    </row>
    <row r="53" spans="2:17" x14ac:dyDescent="0.2">
      <c r="B53" t="s">
        <v>164</v>
      </c>
      <c r="C53" t="s">
        <v>18</v>
      </c>
      <c r="D53">
        <f>(Ränge2!V42=Ränge2!V43)*1</f>
        <v>0</v>
      </c>
      <c r="E53">
        <f>(3*Ränge2!B42+Ränge2!E42)-(3*Ränge2!B43+Ränge2!E43)</f>
        <v>-3</v>
      </c>
      <c r="F53">
        <f>(Ränge2!AB42=Ränge2!AB43)*1</f>
        <v>0</v>
      </c>
      <c r="G53">
        <f>Tabelle!M66-Tabelle!O66</f>
        <v>-1</v>
      </c>
      <c r="H53">
        <f>(Ränge2!AH42=Ränge2!AH43)*1</f>
        <v>0</v>
      </c>
      <c r="I53">
        <f>Tabelle!M66</f>
        <v>0</v>
      </c>
      <c r="J53">
        <f>Tabelle!O66</f>
        <v>1</v>
      </c>
    </row>
    <row r="54" spans="2:17" x14ac:dyDescent="0.2">
      <c r="B54" t="s">
        <v>35</v>
      </c>
      <c r="C54" t="s">
        <v>164</v>
      </c>
      <c r="D54">
        <f>(Ränge2!V40=Ränge2!V42)*1</f>
        <v>0</v>
      </c>
      <c r="E54">
        <f>(3*Ränge2!C40+Ränge2!F40)-(3*Ränge2!C42+Ränge2!F42)</f>
        <v>3</v>
      </c>
      <c r="F54">
        <f>(Ränge2!AB40=Ränge2!AB42)*1</f>
        <v>0</v>
      </c>
      <c r="G54">
        <f>Tabelle!M67-Tabelle!O67</f>
        <v>2</v>
      </c>
      <c r="H54">
        <f>(Ränge2!AH40=Ränge2!AH42)*1</f>
        <v>0</v>
      </c>
      <c r="I54">
        <f>Tabelle!M67</f>
        <v>2</v>
      </c>
      <c r="J54">
        <f>Tabelle!O67</f>
        <v>0</v>
      </c>
    </row>
    <row r="55" spans="2:17" x14ac:dyDescent="0.2">
      <c r="B55" t="s">
        <v>18</v>
      </c>
      <c r="C55" t="s">
        <v>163</v>
      </c>
      <c r="D55">
        <f>(Ränge2!V41=Ränge2!V43)*1</f>
        <v>0</v>
      </c>
      <c r="E55">
        <f>(3*Ränge2!C43+Ränge2!F43)-(3*Ränge2!C41+Ränge2!F41)</f>
        <v>3</v>
      </c>
      <c r="F55">
        <f>(Ränge2!AB41=Ränge2!AB43)*1</f>
        <v>0</v>
      </c>
      <c r="G55">
        <f>Tabelle!M68-Tabelle!O68</f>
        <v>1</v>
      </c>
      <c r="H55">
        <f>(Ränge2!AH41=Ränge2!AH43)*1</f>
        <v>0</v>
      </c>
      <c r="I55">
        <f>Tabelle!M68</f>
        <v>2</v>
      </c>
      <c r="J55">
        <f>Tabelle!O68</f>
        <v>1</v>
      </c>
    </row>
    <row r="56" spans="2:17" x14ac:dyDescent="0.2">
      <c r="B56" t="s">
        <v>18</v>
      </c>
      <c r="C56" t="s">
        <v>35</v>
      </c>
      <c r="D56">
        <f>(Ränge2!V43=Ränge2!V40)*1</f>
        <v>0</v>
      </c>
      <c r="E56">
        <f>(3*Ränge2!D43+Ränge2!G43)-(3*Ränge2!D40+Ränge2!G40)</f>
        <v>0</v>
      </c>
      <c r="F56">
        <f>(Ränge2!AB43=Ränge2!AB40)*1</f>
        <v>0</v>
      </c>
      <c r="G56">
        <f>Tabelle!M69-Tabelle!O69</f>
        <v>0</v>
      </c>
      <c r="H56">
        <f>(Ränge2!AH43=Ränge2!AH40)*1</f>
        <v>0</v>
      </c>
      <c r="I56">
        <f>Tabelle!M69</f>
        <v>1</v>
      </c>
      <c r="J56">
        <f>Tabelle!O69</f>
        <v>1</v>
      </c>
    </row>
    <row r="57" spans="2:17" x14ac:dyDescent="0.2">
      <c r="B57" t="s">
        <v>163</v>
      </c>
      <c r="C57" t="s">
        <v>164</v>
      </c>
      <c r="D57">
        <f>(Ränge2!V41=Ränge2!V42)*1</f>
        <v>0</v>
      </c>
      <c r="E57">
        <f>(3*Ränge2!D41+Ränge2!G41)-(3*Ränge2!D42+Ränge2!G42)</f>
        <v>0</v>
      </c>
      <c r="F57">
        <f>(Ränge2!AB41=Ränge2!AB42)*1</f>
        <v>0</v>
      </c>
      <c r="G57">
        <f>Tabelle!M70-Tabelle!O70</f>
        <v>0</v>
      </c>
      <c r="H57">
        <f>(Ränge2!AH41=Ränge2!AH42)*1</f>
        <v>0</v>
      </c>
      <c r="I57">
        <f>Tabelle!M70</f>
        <v>1</v>
      </c>
      <c r="J57">
        <f>Tabelle!O70</f>
        <v>1</v>
      </c>
    </row>
    <row r="60" spans="2:17" x14ac:dyDescent="0.2">
      <c r="B60" t="s">
        <v>166</v>
      </c>
      <c r="C60" t="s">
        <v>167</v>
      </c>
      <c r="D60">
        <f>(Ränge2!V48=Ränge2!V49)*1</f>
        <v>0</v>
      </c>
      <c r="E60">
        <f>(3*Ränge2!B48+Ränge2!E48)-(3*Ränge2!B49+Ränge2!E49)</f>
        <v>3</v>
      </c>
      <c r="F60">
        <f>(Ränge2!AB48=Ränge2!AB49)*1</f>
        <v>0</v>
      </c>
      <c r="G60">
        <f>Tabelle!AD65-Tabelle!AF65</f>
        <v>2</v>
      </c>
      <c r="H60">
        <f>(Ränge2!AH48=Ränge2!AH49)*1</f>
        <v>0</v>
      </c>
      <c r="I60">
        <f>Tabelle!AD65</f>
        <v>3</v>
      </c>
      <c r="J60">
        <f>Tabelle!AF65</f>
        <v>1</v>
      </c>
      <c r="K60" t="s">
        <v>198</v>
      </c>
    </row>
    <row r="61" spans="2:17" x14ac:dyDescent="0.2">
      <c r="B61" t="s">
        <v>29</v>
      </c>
      <c r="C61" t="s">
        <v>165</v>
      </c>
      <c r="D61">
        <f>(Ränge2!V46=Ränge2!V47)*1</f>
        <v>0</v>
      </c>
      <c r="E61">
        <f>(2*Ränge2!B46+Ränge2!E46)-(3*Ränge2!B47+Ränge2!E47)</f>
        <v>0</v>
      </c>
      <c r="F61">
        <f>(Ränge2!AB46=Ränge2!AB47)*1</f>
        <v>0</v>
      </c>
      <c r="G61">
        <f>Tabelle!AD66-Tabelle!AF66</f>
        <v>0</v>
      </c>
      <c r="H61">
        <f>(Ränge2!AH46=Ränge2!AH47)*1</f>
        <v>0</v>
      </c>
      <c r="I61">
        <f>Tabelle!AD66</f>
        <v>1</v>
      </c>
      <c r="J61">
        <f>Tabelle!AF66</f>
        <v>1</v>
      </c>
    </row>
    <row r="62" spans="2:17" x14ac:dyDescent="0.2">
      <c r="B62" t="s">
        <v>167</v>
      </c>
      <c r="C62" t="s">
        <v>165</v>
      </c>
      <c r="D62">
        <f>(Ränge2!V47=Ränge2!V49)*1</f>
        <v>0</v>
      </c>
      <c r="E62">
        <f>(3*Ränge2!C49+Ränge2!F49)-(3*Ränge2!C47+Ränge2!F47)</f>
        <v>-3</v>
      </c>
      <c r="F62">
        <f>(Ränge2!AB47=Ränge2!AB49)*1</f>
        <v>0</v>
      </c>
      <c r="G62">
        <f>Tabelle!AD67-Tabelle!AF67</f>
        <v>-2</v>
      </c>
      <c r="H62">
        <f>(Ränge2!AH47=Ränge2!AH49)*1</f>
        <v>0</v>
      </c>
      <c r="I62">
        <f>Tabelle!AD67</f>
        <v>0</v>
      </c>
      <c r="J62">
        <f>Tabelle!AF67</f>
        <v>2</v>
      </c>
    </row>
    <row r="63" spans="2:17" x14ac:dyDescent="0.2">
      <c r="B63" t="s">
        <v>29</v>
      </c>
      <c r="C63" t="s">
        <v>166</v>
      </c>
      <c r="D63">
        <f>(Ränge2!V46=Ränge2!V48)*1</f>
        <v>0</v>
      </c>
      <c r="E63">
        <f>(3*Ränge2!C46+Ränge2!F46)-(3*Ränge2!C48+Ränge2!F48)</f>
        <v>-3</v>
      </c>
      <c r="F63">
        <f>(Ränge2!AB46=Ränge2!AB48)*1</f>
        <v>0</v>
      </c>
      <c r="G63">
        <f>Tabelle!AD68-Tabelle!AF68</f>
        <v>-1</v>
      </c>
      <c r="H63">
        <f>(Ränge2!AH46=Ränge2!AH48)*1</f>
        <v>0</v>
      </c>
      <c r="I63">
        <f>Tabelle!AD68</f>
        <v>1</v>
      </c>
      <c r="J63">
        <f>Tabelle!AF68</f>
        <v>2</v>
      </c>
    </row>
    <row r="64" spans="2:17" x14ac:dyDescent="0.2">
      <c r="B64" t="s">
        <v>167</v>
      </c>
      <c r="C64" t="s">
        <v>29</v>
      </c>
      <c r="D64">
        <f>(Ränge2!V49=Ränge2!V46)*1</f>
        <v>0</v>
      </c>
      <c r="E64">
        <f>(3*Ränge2!D49+Ränge2!G49)-(3*Ränge2!D46+Ränge2!G46)</f>
        <v>-3</v>
      </c>
      <c r="F64">
        <f>(Ränge2!AB49=Ränge2!AB46)*1</f>
        <v>0</v>
      </c>
      <c r="G64">
        <f>Tabelle!AD69-Tabelle!AF69</f>
        <v>-1</v>
      </c>
      <c r="H64">
        <f>(Ränge2!AH49=Ränge2!AH46)*1</f>
        <v>0</v>
      </c>
      <c r="I64">
        <f>Tabelle!AD69</f>
        <v>0</v>
      </c>
      <c r="J64">
        <f>Tabelle!AF69</f>
        <v>1</v>
      </c>
    </row>
    <row r="65" spans="2:10" x14ac:dyDescent="0.2">
      <c r="B65" t="s">
        <v>165</v>
      </c>
      <c r="C65" t="s">
        <v>166</v>
      </c>
      <c r="D65">
        <f>(Ränge2!V47=Ränge2!V48)*1</f>
        <v>0</v>
      </c>
      <c r="E65">
        <f>(3*Ränge2!D47+Ränge2!G47)-(3*Ränge2!D48+Ränge2!G48)</f>
        <v>-3</v>
      </c>
      <c r="F65">
        <f>(Ränge2!AB47=Ränge2!AB48)*1</f>
        <v>0</v>
      </c>
      <c r="G65">
        <f>Tabelle!AD70-Tabelle!AF70</f>
        <v>-1</v>
      </c>
      <c r="H65">
        <f>(Ränge2!AH47=Ränge2!AH48)*1</f>
        <v>0</v>
      </c>
      <c r="I65">
        <f>Tabelle!AD70</f>
        <v>1</v>
      </c>
      <c r="J65">
        <f>Tabelle!AF70</f>
        <v>2</v>
      </c>
    </row>
  </sheetData>
  <pageMargins left="0.70000000000000007" right="0.70000000000000007" top="0.78740157500000008" bottom="0.78740157500000008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49"/>
  <sheetViews>
    <sheetView workbookViewId="0">
      <selection activeCell="I34" sqref="I34"/>
    </sheetView>
  </sheetViews>
  <sheetFormatPr baseColWidth="10" defaultColWidth="11.5" defaultRowHeight="15" x14ac:dyDescent="0.2"/>
  <cols>
    <col min="1" max="1" width="15.5" customWidth="1"/>
    <col min="2" max="2" width="2.33203125" customWidth="1"/>
    <col min="3" max="6" width="2.5" customWidth="1"/>
    <col min="7" max="7" width="2.33203125" customWidth="1"/>
    <col min="8" max="10" width="11.5" customWidth="1"/>
    <col min="11" max="11" width="6.83203125" customWidth="1"/>
    <col min="12" max="12" width="9.5" customWidth="1"/>
    <col min="13" max="13" width="9" customWidth="1"/>
    <col min="14" max="16" width="11.5" customWidth="1"/>
    <col min="17" max="17" width="6.5" customWidth="1"/>
    <col min="18" max="18" width="11.5" customWidth="1"/>
  </cols>
  <sheetData>
    <row r="1" spans="1:42" x14ac:dyDescent="0.2">
      <c r="A1" s="11"/>
      <c r="B1" s="12"/>
      <c r="C1" s="12"/>
      <c r="D1" s="12"/>
      <c r="E1" s="12"/>
      <c r="F1" s="12"/>
      <c r="G1" s="13"/>
      <c r="L1">
        <v>2</v>
      </c>
    </row>
    <row r="2" spans="1:42" x14ac:dyDescent="0.2">
      <c r="A2" s="14"/>
      <c r="B2" s="307" t="s">
        <v>76</v>
      </c>
      <c r="C2" s="307"/>
      <c r="D2" s="307"/>
      <c r="E2" t="s">
        <v>77</v>
      </c>
      <c r="G2" s="15"/>
      <c r="H2" s="16"/>
      <c r="K2" t="s">
        <v>78</v>
      </c>
    </row>
    <row r="3" spans="1:42" x14ac:dyDescent="0.2">
      <c r="A3" s="14" t="s">
        <v>2</v>
      </c>
      <c r="B3" s="17" t="s">
        <v>79</v>
      </c>
      <c r="C3" s="17" t="s">
        <v>80</v>
      </c>
      <c r="D3" s="17" t="s">
        <v>81</v>
      </c>
      <c r="E3" s="17" t="s">
        <v>79</v>
      </c>
      <c r="F3" s="17" t="s">
        <v>80</v>
      </c>
      <c r="G3" s="18" t="s">
        <v>81</v>
      </c>
      <c r="H3" s="16"/>
      <c r="I3" t="s">
        <v>2</v>
      </c>
      <c r="J3" t="s">
        <v>82</v>
      </c>
      <c r="K3" t="s">
        <v>83</v>
      </c>
      <c r="L3" t="s">
        <v>84</v>
      </c>
      <c r="M3" t="s">
        <v>85</v>
      </c>
      <c r="N3" t="s">
        <v>86</v>
      </c>
      <c r="O3" t="s">
        <v>87</v>
      </c>
      <c r="P3" t="s">
        <v>88</v>
      </c>
      <c r="Q3" t="s">
        <v>89</v>
      </c>
      <c r="R3" t="s">
        <v>90</v>
      </c>
      <c r="S3" t="s">
        <v>91</v>
      </c>
      <c r="T3" t="s">
        <v>92</v>
      </c>
      <c r="U3" t="s">
        <v>93</v>
      </c>
      <c r="V3" t="s">
        <v>94</v>
      </c>
      <c r="W3" t="s">
        <v>95</v>
      </c>
      <c r="X3" t="s">
        <v>96</v>
      </c>
      <c r="Y3" t="s">
        <v>97</v>
      </c>
      <c r="Z3" t="s">
        <v>98</v>
      </c>
      <c r="AA3" t="s">
        <v>99</v>
      </c>
      <c r="AB3" t="s">
        <v>100</v>
      </c>
      <c r="AC3" t="s">
        <v>101</v>
      </c>
      <c r="AD3" t="s">
        <v>102</v>
      </c>
      <c r="AE3" t="s">
        <v>103</v>
      </c>
      <c r="AF3" t="s">
        <v>104</v>
      </c>
      <c r="AG3" t="s">
        <v>105</v>
      </c>
      <c r="AH3" t="s">
        <v>106</v>
      </c>
      <c r="AI3" t="s">
        <v>107</v>
      </c>
      <c r="AJ3" t="s">
        <v>108</v>
      </c>
      <c r="AK3" t="s">
        <v>109</v>
      </c>
      <c r="AL3" t="s">
        <v>110</v>
      </c>
      <c r="AM3" t="s">
        <v>111</v>
      </c>
      <c r="AN3" t="s">
        <v>112</v>
      </c>
      <c r="AO3" t="s">
        <v>113</v>
      </c>
    </row>
    <row r="4" spans="1:42" x14ac:dyDescent="0.2">
      <c r="A4" s="14" t="s">
        <v>183</v>
      </c>
      <c r="B4">
        <f>IF(Tabelle!M14&gt;Tabelle!O14,1,0)</f>
        <v>1</v>
      </c>
      <c r="C4">
        <f>IF(Tabelle!M16&gt;Tabelle!O16,1,0)</f>
        <v>0</v>
      </c>
      <c r="D4">
        <f>IF(Tabelle!M18&lt;Tabelle!O18,1,0)</f>
        <v>0</v>
      </c>
      <c r="E4">
        <f>IF(AND(Tabelle!M14=Tabelle!O14,Tabelle!M14&lt;&gt;""),1,0)</f>
        <v>0</v>
      </c>
      <c r="F4">
        <f>IF(AND(Tabelle!M16=Tabelle!O16,Tabelle!M16&lt;&gt;""),1,0)</f>
        <v>1</v>
      </c>
      <c r="G4" s="15">
        <f>IF(AND(Tabelle!M18=Tabelle!O18,Tabelle!M18&lt;&gt;""),1,0)</f>
        <v>0</v>
      </c>
      <c r="H4" s="16"/>
      <c r="I4" t="s">
        <v>16</v>
      </c>
      <c r="J4" s="19">
        <f>_xlfn.RANK.EQ(Gruppen!K6,Gruppen!K$6:K$9,0)</f>
        <v>2</v>
      </c>
      <c r="K4">
        <f>IF(COUNTIF(J$4:J$7,J4)=1,"",1)</f>
        <v>1</v>
      </c>
      <c r="L4">
        <f>IF(K4=1,Ränge1!M4,"")</f>
        <v>0</v>
      </c>
      <c r="M4" t="str">
        <f>IF(K4=2,Ränge1!M4,"")</f>
        <v/>
      </c>
      <c r="N4">
        <f>IF(K4=1,_xlfn.RANK.EQ(L4,L$4:L$7),0)</f>
        <v>2</v>
      </c>
      <c r="O4">
        <f>IF(K4=2,_xlfn.RANK.EQ(M4,M$4:M$7),0)</f>
        <v>0</v>
      </c>
      <c r="P4" s="19">
        <f>IF(K4&lt;&gt;"",J4+N4+O4-1,J4)</f>
        <v>3</v>
      </c>
      <c r="Q4" t="str">
        <f>IF(COUNTIF(P$4:P$7,P4)=1,"",1)</f>
        <v/>
      </c>
      <c r="R4" t="str">
        <f>IF(Q4=1,Ränge1!N4,"")</f>
        <v/>
      </c>
      <c r="S4" t="str">
        <f>IF(Q4=2,Ränge1!N4,"")</f>
        <v/>
      </c>
      <c r="T4">
        <f>IF($Q4=1,_xlfn.RANK.EQ(R4,R$4:R$7),0)</f>
        <v>0</v>
      </c>
      <c r="U4">
        <f>IF($Q4=2,_xlfn.RANK.EQ(S4,S$4:S$7),0)</f>
        <v>0</v>
      </c>
      <c r="V4" s="19">
        <f>IF(Q4&lt;&gt;"",P4+T4+U4-1,P4)</f>
        <v>3</v>
      </c>
      <c r="W4" t="str">
        <f>IF(COUNTIF(V$4:V$7,V4)=1,"",1)</f>
        <v/>
      </c>
      <c r="X4" t="str">
        <f>IF(W4=1,Ränge1!O4,"")</f>
        <v/>
      </c>
      <c r="Y4" t="str">
        <f>IF(W4=2,Ränge1!O4,"")</f>
        <v/>
      </c>
      <c r="Z4">
        <f>IF($W4=1,_xlfn.RANK.EQ(X4,X$4:X$7),0)</f>
        <v>0</v>
      </c>
      <c r="AA4">
        <f>IF($W4=2,_xlfn.RANK.EQ(Y4,Y$4:Y$7),0)</f>
        <v>0</v>
      </c>
      <c r="AB4" s="19">
        <f>IF(W4&lt;&gt;"",V4+Z4+AA4-1,V4)</f>
        <v>3</v>
      </c>
      <c r="AC4" t="str">
        <f>IF(COUNTIF(AB$4:AB$7,AB4)=1,"",1)</f>
        <v/>
      </c>
      <c r="AD4" t="str">
        <f>IF(AC4=1,Ränge1!P4,"")</f>
        <v/>
      </c>
      <c r="AE4" t="str">
        <f>IF(AC4=2,Ränge1!P4,"")</f>
        <v/>
      </c>
      <c r="AF4">
        <f>IF($AC4=1,_xlfn.RANK.EQ(AD4,AD$4:AD$7),0)</f>
        <v>0</v>
      </c>
      <c r="AG4">
        <f>IF($AC4=2,_xlfn.RANK.EQ(AE4,AE$4:AE$7),0)</f>
        <v>0</v>
      </c>
      <c r="AH4" s="19">
        <f>IF(AC4&lt;&gt;"",AB4+AF4+AG4-1,AB4)</f>
        <v>3</v>
      </c>
      <c r="AI4" t="str">
        <f>IF(COUNTIF(AH$4:AH$7,AH4)=1,"",1)</f>
        <v/>
      </c>
      <c r="AJ4" t="str">
        <f>IF($AI4=1,Ränge1!Q4,"")</f>
        <v/>
      </c>
      <c r="AK4" t="str">
        <f>IF($AI4=2,Ränge1!Q4,"")</f>
        <v/>
      </c>
      <c r="AL4">
        <f>IF($AI4=1,_xlfn.RANK.EQ(AJ4,AJ$4:AJ$7),0)</f>
        <v>0</v>
      </c>
      <c r="AM4">
        <f>IF($AI4=2,_xlfn.RANK.EQ(AK4,AK$4:AK$7),0)</f>
        <v>0</v>
      </c>
      <c r="AN4" s="19">
        <f>IF(AI4&lt;&gt;"",AH4+AL4+AM4-1,AH4)</f>
        <v>3</v>
      </c>
      <c r="AO4" s="20">
        <f>AN4</f>
        <v>3</v>
      </c>
      <c r="AP4" t="s">
        <v>16</v>
      </c>
    </row>
    <row r="5" spans="1:42" x14ac:dyDescent="0.2">
      <c r="A5" s="14" t="s">
        <v>184</v>
      </c>
      <c r="B5">
        <f>IF(Tabelle!M14&lt;Tabelle!O14,1,0)</f>
        <v>0</v>
      </c>
      <c r="C5">
        <f>IF(Tabelle!M17&lt;Tabelle!O17,1,0)</f>
        <v>0</v>
      </c>
      <c r="D5">
        <f>IF(Tabelle!M19&gt;Tabelle!O19,1,0)</f>
        <v>0</v>
      </c>
      <c r="E5">
        <f>IF(AND(Tabelle!M14=Tabelle!O14,Tabelle!M14&lt;&gt;""),1,0)</f>
        <v>0</v>
      </c>
      <c r="F5">
        <f>IF(AND(Tabelle!M17=Tabelle!O17,Tabelle!M17&lt;&gt;""),1,0)</f>
        <v>0</v>
      </c>
      <c r="G5" s="15">
        <f>IF(AND(Tabelle!M19=Tabelle!O19,Tabelle!M19&lt;&gt;""),1,0)</f>
        <v>0</v>
      </c>
      <c r="H5" s="16"/>
      <c r="I5" t="s">
        <v>146</v>
      </c>
      <c r="J5" s="19">
        <f>_xlfn.RANK.EQ(Gruppen!K7,Gruppen!K$6:K$9,0)</f>
        <v>4</v>
      </c>
      <c r="K5" t="str">
        <f>IF(COUNTIF(J$4:J$7,J5)=1,"",IF(AND(COUNT(K$4)&gt;0,J$4&lt;&gt;J5),2,1))</f>
        <v/>
      </c>
      <c r="L5" t="str">
        <f>IF(K5=1,Ränge1!M5,"")</f>
        <v/>
      </c>
      <c r="M5" t="str">
        <f>IF(K5=2,Ränge1!M5,"")</f>
        <v/>
      </c>
      <c r="N5">
        <f>IF(K5=1,_xlfn.RANK.EQ(L5,L$4:L$7),0)</f>
        <v>0</v>
      </c>
      <c r="O5">
        <f>IF(K5=2,_xlfn.RANK.EQ(M5,M$4:M$7),0)</f>
        <v>0</v>
      </c>
      <c r="P5" s="19">
        <f>IF(K5&lt;&gt;"",J5+N5+O5-1,J5)</f>
        <v>4</v>
      </c>
      <c r="Q5" t="str">
        <f>IF(COUNTIF(P$4:P$7,P5)=1,"",IF(AND(COUNT(Q$4)&gt;0,P$4&lt;&gt;P5),2,1))</f>
        <v/>
      </c>
      <c r="R5" t="str">
        <f>IF(Q5=1,Ränge1!N5,"")</f>
        <v/>
      </c>
      <c r="S5" t="str">
        <f>IF(Q5=2,Ränge1!N5,"")</f>
        <v/>
      </c>
      <c r="T5">
        <f>IF($Q5=1,_xlfn.RANK.EQ(R5,R$4:R$7),0)</f>
        <v>0</v>
      </c>
      <c r="U5">
        <f>IF($Q5=2,_xlfn.RANK.EQ(S5,S$4:S$7),0)</f>
        <v>0</v>
      </c>
      <c r="V5" s="19">
        <f>IF(Q5&lt;&gt;"",P5+T5+U5-1,P5)</f>
        <v>4</v>
      </c>
      <c r="W5" t="str">
        <f>IF(COUNTIF(V$4:V$7,V5)=1,"",IF(AND(COUNT(W$4)&gt;0,V$4&lt;&gt;V5),2,1))</f>
        <v/>
      </c>
      <c r="X5" t="str">
        <f>IF(W5=1,Ränge1!O5,"")</f>
        <v/>
      </c>
      <c r="Y5" t="str">
        <f>IF(W5=2,Ränge1!O5,"")</f>
        <v/>
      </c>
      <c r="Z5">
        <f>IF($W5=1,_xlfn.RANK.EQ(X5,X$4:X$7),0)</f>
        <v>0</v>
      </c>
      <c r="AA5">
        <f>IF($W5=2,_xlfn.RANK.EQ(Y5,Y$4:Y$7),0)</f>
        <v>0</v>
      </c>
      <c r="AB5" s="19">
        <f>IF(W5&lt;&gt;"",V5+Z5+AA5-1,V5)</f>
        <v>4</v>
      </c>
      <c r="AC5" t="str">
        <f>IF(COUNTIF(AB$4:AB$7,AB5)=1,"",IF(AND(COUNT(AC$4)&gt;0,AB$4&lt;&gt;AB5),2,1))</f>
        <v/>
      </c>
      <c r="AD5" t="str">
        <f>IF(AC5=1,Ränge1!P5,"")</f>
        <v/>
      </c>
      <c r="AE5" t="str">
        <f>IF(AC5=2,Ränge1!P5,"")</f>
        <v/>
      </c>
      <c r="AF5">
        <f>IF($AC5=1,_xlfn.RANK.EQ(AD5,AD$4:AD$7),0)</f>
        <v>0</v>
      </c>
      <c r="AG5">
        <f>IF($AC5=2,_xlfn.RANK.EQ(AE5,AE$4:AE$7),0)</f>
        <v>0</v>
      </c>
      <c r="AH5" s="19">
        <f>IF(AC5&lt;&gt;"",AB5+AF5+AG5-1,AB5)</f>
        <v>4</v>
      </c>
      <c r="AI5" t="str">
        <f>IF(COUNTIF(AH$4:AH$7,AH5)=1,"",IF(AND(COUNT(AI$4)&gt;0,AH$4&lt;&gt;AH5),2,1))</f>
        <v/>
      </c>
      <c r="AJ5" t="str">
        <f>IF($AI5=1,Ränge1!Q5,"")</f>
        <v/>
      </c>
      <c r="AK5" t="str">
        <f>IF($AI5=2,Ränge1!Q5,"")</f>
        <v/>
      </c>
      <c r="AL5">
        <f>IF($AI5=1,_xlfn.RANK.EQ(AJ5,AJ$4:AJ$7),0)</f>
        <v>0</v>
      </c>
      <c r="AM5">
        <f>IF($AI5=2,_xlfn.RANK.EQ(AK5,AK$4:AK$7),0)</f>
        <v>0</v>
      </c>
      <c r="AN5" s="19">
        <f>IF(AI5&lt;&gt;"",AH5+AL5+AM5-1,AH5)</f>
        <v>4</v>
      </c>
      <c r="AO5" s="20">
        <f>AN5</f>
        <v>4</v>
      </c>
      <c r="AP5" t="s">
        <v>146</v>
      </c>
    </row>
    <row r="6" spans="1:42" x14ac:dyDescent="0.2">
      <c r="A6" s="14" t="s">
        <v>185</v>
      </c>
      <c r="B6">
        <f>IF(Tabelle!M15&gt;Tabelle!O15,1,0)</f>
        <v>0</v>
      </c>
      <c r="C6">
        <f>IF(Tabelle!M16&lt;Tabelle!O16,1,0)</f>
        <v>0</v>
      </c>
      <c r="D6">
        <f>IF(Tabelle!M19&lt;Tabelle!O19,1,0)</f>
        <v>1</v>
      </c>
      <c r="E6">
        <f>IF(AND(Tabelle!M15=Tabelle!O15,Tabelle!M15&lt;&gt;""),1,0)</f>
        <v>0</v>
      </c>
      <c r="F6">
        <f>IF(AND(Tabelle!M16=Tabelle!O16,Tabelle!M16&lt;&gt;""),1,0)</f>
        <v>1</v>
      </c>
      <c r="G6" s="15">
        <f>IF(AND(Tabelle!M19=Tabelle!O19,Tabelle!M19&lt;&gt;""),1,0)</f>
        <v>0</v>
      </c>
      <c r="H6" s="16"/>
      <c r="I6" t="s">
        <v>147</v>
      </c>
      <c r="J6" s="19">
        <f>_xlfn.RANK.EQ(Gruppen!K8,Gruppen!K$6:K$9,0)</f>
        <v>2</v>
      </c>
      <c r="K6">
        <f>IF(COUNTIF(J$4:J$7,J6)=1,"",IF(AND(COUNT(K$4)&gt;0,J$4&lt;&gt;J6),2,1))</f>
        <v>1</v>
      </c>
      <c r="L6">
        <f>IF(K6=1,Ränge1!M6,"")</f>
        <v>1</v>
      </c>
      <c r="M6" t="str">
        <f>IF(K6=2,Ränge1!M6,"")</f>
        <v/>
      </c>
      <c r="N6">
        <f>IF(K6=1,_xlfn.RANK.EQ(L6,L$4:L$7),0)</f>
        <v>1</v>
      </c>
      <c r="O6">
        <f>IF(K6=2,_xlfn.RANK.EQ(M6,M$4:M$7),0)</f>
        <v>0</v>
      </c>
      <c r="P6" s="19">
        <f>IF(K6&lt;&gt;"",J6+N6+O6-1,J6)</f>
        <v>2</v>
      </c>
      <c r="Q6" t="str">
        <f>IF(COUNTIF(P$4:P$7,P6)=1,"",IF(AND(COUNT(Q$4)&gt;0,P$4&lt;&gt;P6),2,1))</f>
        <v/>
      </c>
      <c r="R6" t="str">
        <f>IF(Q6=1,Ränge1!N6,"")</f>
        <v/>
      </c>
      <c r="S6" t="str">
        <f>IF(Q6=2,Ränge1!N6,"")</f>
        <v/>
      </c>
      <c r="T6">
        <f>IF($Q6=1,_xlfn.RANK.EQ(R6,R$4:R$7),0)</f>
        <v>0</v>
      </c>
      <c r="U6">
        <f>IF($Q6=2,_xlfn.RANK.EQ(S6,S$4:S$7),0)</f>
        <v>0</v>
      </c>
      <c r="V6" s="19">
        <f>IF(Q6&lt;&gt;"",P6+T6+U6-1,P6)</f>
        <v>2</v>
      </c>
      <c r="W6" t="str">
        <f>IF(COUNTIF(V$4:V$7,V6)=1,"",IF(AND(COUNT(W$4)&gt;0,V$4&lt;&gt;V6),2,1))</f>
        <v/>
      </c>
      <c r="X6" t="str">
        <f>IF(W6=1,Ränge1!O6,"")</f>
        <v/>
      </c>
      <c r="Y6" t="str">
        <f>IF(W6=2,Ränge1!O6,"")</f>
        <v/>
      </c>
      <c r="Z6">
        <f>IF($W6=1,_xlfn.RANK.EQ(X6,X$4:X$7),0)</f>
        <v>0</v>
      </c>
      <c r="AA6">
        <f>IF($W6=2,_xlfn.RANK.EQ(Y6,Y$4:Y$7),0)</f>
        <v>0</v>
      </c>
      <c r="AB6" s="19">
        <f>IF(W6&lt;&gt;"",V6+Z6+AA6-1,V6)</f>
        <v>2</v>
      </c>
      <c r="AC6" t="str">
        <f>IF(COUNTIF(AB$4:AB$7,AB6)=1,"",IF(AND(COUNT(AC$4)&gt;0,AB$4&lt;&gt;AB6),2,1))</f>
        <v/>
      </c>
      <c r="AD6" t="str">
        <f>IF(AC6=1,Ränge1!P6,"")</f>
        <v/>
      </c>
      <c r="AE6" t="str">
        <f>IF(AC6=2,Ränge1!P6,"")</f>
        <v/>
      </c>
      <c r="AF6">
        <f>IF($AC6=1,_xlfn.RANK.EQ(AD6,AD$4:AD$7),0)</f>
        <v>0</v>
      </c>
      <c r="AG6">
        <f>IF($AC6=2,_xlfn.RANK.EQ(AE6,AE$4:AE$7),0)</f>
        <v>0</v>
      </c>
      <c r="AH6" s="19">
        <f>IF(AC6&lt;&gt;"",AB6+AF6+AG6-1,AB6)</f>
        <v>2</v>
      </c>
      <c r="AI6" t="str">
        <f>IF(COUNTIF(AH$4:AH$7,AH6)=1,"",IF(AND(COUNT(AI$4)&gt;0,AH$4&lt;&gt;AH6),2,1))</f>
        <v/>
      </c>
      <c r="AJ6" t="str">
        <f>IF($AI6=1,Ränge1!Q6,"")</f>
        <v/>
      </c>
      <c r="AK6" t="str">
        <f>IF($AI6=2,Ränge1!Q6,"")</f>
        <v/>
      </c>
      <c r="AL6">
        <f>IF($AI6=1,_xlfn.RANK.EQ(AJ6,AJ$4:AJ$7),0)</f>
        <v>0</v>
      </c>
      <c r="AM6">
        <f>IF($AI6=2,_xlfn.RANK.EQ(AK6,AK$4:AK$7),0)</f>
        <v>0</v>
      </c>
      <c r="AN6" s="19">
        <f>IF(AI6&lt;&gt;"",AH6+AL6+AM6-1,AH6)</f>
        <v>2</v>
      </c>
      <c r="AO6" s="20">
        <f>AN6</f>
        <v>2</v>
      </c>
      <c r="AP6" t="s">
        <v>147</v>
      </c>
    </row>
    <row r="7" spans="1:42" x14ac:dyDescent="0.2">
      <c r="A7" s="14" t="s">
        <v>186</v>
      </c>
      <c r="B7">
        <f>IF(Tabelle!M15&lt;Tabelle!O15,1,0)</f>
        <v>1</v>
      </c>
      <c r="C7">
        <f>IF(Tabelle!M17&gt;Tabelle!O17,1,0)</f>
        <v>1</v>
      </c>
      <c r="D7">
        <f>IF(Tabelle!M18&gt;Tabelle!O18,1,0)</f>
        <v>1</v>
      </c>
      <c r="E7">
        <f>IF(AND(Tabelle!M15=Tabelle!O15,Tabelle!M15&lt;&gt;""),1,0)</f>
        <v>0</v>
      </c>
      <c r="F7">
        <f>IF(AND(Tabelle!M17=Tabelle!O17,Tabelle!M17&lt;&gt;""),1,0)</f>
        <v>0</v>
      </c>
      <c r="G7" s="15">
        <f>IF(AND(Tabelle!M18=Tabelle!O18,Tabelle!M18&lt;&gt;""),1,0)</f>
        <v>0</v>
      </c>
      <c r="H7" s="16"/>
      <c r="I7" t="s">
        <v>148</v>
      </c>
      <c r="J7" s="19">
        <f>_xlfn.RANK.EQ(Gruppen!K9,Gruppen!K$6:K$9,0)</f>
        <v>1</v>
      </c>
      <c r="K7" t="str">
        <f>IF(COUNTIF(J$4:J$7,J7)=1,"",IF(AND(COUNT(K$4)&gt;0,J$4&lt;&gt;J7),2,1))</f>
        <v/>
      </c>
      <c r="L7" t="str">
        <f>IF(K7=1,Ränge1!M7,"")</f>
        <v/>
      </c>
      <c r="M7" t="str">
        <f>IF(K7=2,Ränge1!M7,"")</f>
        <v/>
      </c>
      <c r="N7">
        <f>IF(K7=1,_xlfn.RANK.EQ(L7,L$4:L$7),0)</f>
        <v>0</v>
      </c>
      <c r="O7">
        <f>IF(K7=2,_xlfn.RANK.EQ(M7,M$4:M$7),0)</f>
        <v>0</v>
      </c>
      <c r="P7" s="19">
        <f>IF(K7&lt;&gt;"",J7+N7+O7-1,J7)</f>
        <v>1</v>
      </c>
      <c r="Q7" t="str">
        <f>IF(COUNTIF(P$4:P$7,P7)=1,"",IF(AND(COUNT(Q$4)&gt;0,P$4&lt;&gt;P7),2,1))</f>
        <v/>
      </c>
      <c r="R7" t="str">
        <f>IF(Q7=1,Ränge1!N7,"")</f>
        <v/>
      </c>
      <c r="S7" t="str">
        <f>IF(Q7=2,Ränge1!N7,"")</f>
        <v/>
      </c>
      <c r="T7">
        <f>IF($Q7=1,_xlfn.RANK.EQ(R7,R$4:R$7),0)</f>
        <v>0</v>
      </c>
      <c r="U7">
        <f>IF($Q7=2,_xlfn.RANK.EQ(S7,S$4:S$7),0)</f>
        <v>0</v>
      </c>
      <c r="V7" s="19">
        <f>IF(Q7&lt;&gt;"",P7+T7+U7-1,P7)</f>
        <v>1</v>
      </c>
      <c r="W7" t="str">
        <f>IF(COUNTIF(V$4:V$7,V7)=1,"",IF(AND(COUNT(W$4)&gt;0,V$4&lt;&gt;V7),2,1))</f>
        <v/>
      </c>
      <c r="X7" t="str">
        <f>IF(W7=1,Ränge1!O7,"")</f>
        <v/>
      </c>
      <c r="Y7" t="str">
        <f>IF(W7=2,Ränge1!O7,"")</f>
        <v/>
      </c>
      <c r="Z7">
        <f>IF($W7=1,_xlfn.RANK.EQ(X7,X$4:X$7),0)</f>
        <v>0</v>
      </c>
      <c r="AA7">
        <f>IF($W7=2,_xlfn.RANK.EQ(Y7,Y$4:Y$7),0)</f>
        <v>0</v>
      </c>
      <c r="AB7" s="19">
        <f>IF(W7&lt;&gt;"",V7+Z7+AA7-1,V7)</f>
        <v>1</v>
      </c>
      <c r="AC7" t="str">
        <f>IF(COUNTIF(AB$4:AB$7,AB7)=1,"",IF(AND(COUNT(AC$4)&gt;0,AB$4&lt;&gt;AB7),2,1))</f>
        <v/>
      </c>
      <c r="AD7" t="str">
        <f>IF(AC7=1,Ränge1!P7,"")</f>
        <v/>
      </c>
      <c r="AE7" t="str">
        <f>IF(AC7=2,Ränge1!P7,"")</f>
        <v/>
      </c>
      <c r="AF7">
        <f>IF($AC7=1,_xlfn.RANK.EQ(AD7,AD$4:AD$7),0)</f>
        <v>0</v>
      </c>
      <c r="AG7">
        <f>IF($AC7=2,_xlfn.RANK.EQ(AE7,AE$4:AE$7),0)</f>
        <v>0</v>
      </c>
      <c r="AH7" s="19">
        <f>IF(AC7&lt;&gt;"",AB7+AF7+AG7-1,AB7)</f>
        <v>1</v>
      </c>
      <c r="AI7" t="str">
        <f>IF(COUNTIF(AH$4:AH$7,AH7)=1,"",IF(AND(COUNT(AI$4)&gt;0,AH$4&lt;&gt;AH7),2,1))</f>
        <v/>
      </c>
      <c r="AJ7" t="str">
        <f>IF($AI7=1,Ränge1!Q7,"")</f>
        <v/>
      </c>
      <c r="AK7" t="str">
        <f>IF($AI7=2,Ränge1!Q7,"")</f>
        <v/>
      </c>
      <c r="AL7">
        <f>IF($AI7=1,_xlfn.RANK.EQ(AJ7,AJ$4:AJ$7),0)</f>
        <v>0</v>
      </c>
      <c r="AM7">
        <f>IF($AI7=2,_xlfn.RANK.EQ(AK7,AK$4:AK$7),0)</f>
        <v>0</v>
      </c>
      <c r="AN7" s="19">
        <f>IF(AI7&lt;&gt;"",AH7+AL7+AM7-1,AH7)</f>
        <v>1</v>
      </c>
      <c r="AO7" s="20">
        <f>AN7</f>
        <v>1</v>
      </c>
      <c r="AP7" t="s">
        <v>148</v>
      </c>
    </row>
    <row r="8" spans="1:42" x14ac:dyDescent="0.2">
      <c r="A8" s="14"/>
      <c r="G8" s="15"/>
      <c r="H8" s="16"/>
      <c r="K8" s="21"/>
      <c r="L8" s="21"/>
      <c r="M8" s="21"/>
      <c r="N8" s="21"/>
      <c r="O8" s="21"/>
      <c r="P8" s="21"/>
      <c r="Q8" s="21"/>
      <c r="Y8" t="str">
        <f>IF(W8=2,Ränge1!O8,"")</f>
        <v/>
      </c>
      <c r="AH8" s="22"/>
      <c r="AI8" s="23"/>
      <c r="AO8" s="23"/>
      <c r="AP8" s="22"/>
    </row>
    <row r="9" spans="1:42" x14ac:dyDescent="0.2">
      <c r="A9" s="14"/>
      <c r="G9" s="15"/>
      <c r="H9" s="16"/>
      <c r="J9" t="s">
        <v>82</v>
      </c>
      <c r="K9" t="s">
        <v>83</v>
      </c>
      <c r="L9" t="s">
        <v>84</v>
      </c>
      <c r="M9" t="s">
        <v>85</v>
      </c>
      <c r="N9" t="s">
        <v>86</v>
      </c>
      <c r="O9" t="s">
        <v>87</v>
      </c>
      <c r="P9" t="s">
        <v>88</v>
      </c>
      <c r="Q9" t="s">
        <v>89</v>
      </c>
      <c r="R9" t="s">
        <v>90</v>
      </c>
      <c r="S9" t="s">
        <v>91</v>
      </c>
      <c r="T9" t="s">
        <v>92</v>
      </c>
      <c r="U9" t="s">
        <v>93</v>
      </c>
      <c r="V9" t="s">
        <v>94</v>
      </c>
      <c r="W9" t="s">
        <v>95</v>
      </c>
      <c r="X9" t="s">
        <v>96</v>
      </c>
      <c r="Y9" t="s">
        <v>97</v>
      </c>
      <c r="Z9" t="s">
        <v>98</v>
      </c>
      <c r="AA9" t="s">
        <v>99</v>
      </c>
      <c r="AB9" t="s">
        <v>100</v>
      </c>
      <c r="AC9" t="s">
        <v>101</v>
      </c>
      <c r="AD9" t="s">
        <v>102</v>
      </c>
      <c r="AE9" t="s">
        <v>103</v>
      </c>
      <c r="AF9" t="s">
        <v>104</v>
      </c>
      <c r="AG9" t="s">
        <v>105</v>
      </c>
      <c r="AH9" t="s">
        <v>106</v>
      </c>
      <c r="AI9" t="s">
        <v>107</v>
      </c>
      <c r="AJ9" t="s">
        <v>108</v>
      </c>
      <c r="AK9" t="s">
        <v>109</v>
      </c>
      <c r="AL9" t="s">
        <v>110</v>
      </c>
      <c r="AM9" t="s">
        <v>111</v>
      </c>
      <c r="AN9" t="s">
        <v>112</v>
      </c>
      <c r="AO9" t="s">
        <v>113</v>
      </c>
    </row>
    <row r="10" spans="1:42" x14ac:dyDescent="0.2">
      <c r="A10" s="14" t="s">
        <v>114</v>
      </c>
      <c r="B10">
        <f>IF(Tabelle!AD15&gt;Tabelle!AF15,1,0)</f>
        <v>0</v>
      </c>
      <c r="C10">
        <f>IF(Tabelle!AD16&gt;Tabelle!AF16,1,0)</f>
        <v>1</v>
      </c>
      <c r="D10">
        <f>IF(Tabelle!AD18&lt;Tabelle!AF18,1,0)</f>
        <v>1</v>
      </c>
      <c r="E10">
        <f>IF(AND(Tabelle!AD15=Tabelle!AF15,Tabelle!AD15&lt;&gt;""),1,0)</f>
        <v>0</v>
      </c>
      <c r="F10">
        <f>IF(AND(Tabelle!AD16=Tabelle!AF16,Tabelle!AD16&lt;&gt;""),1,0)</f>
        <v>0</v>
      </c>
      <c r="G10" s="15">
        <f>IF(AND(Tabelle!AD18=Tabelle!AF18,Tabelle!AD18&lt;&gt;""),1,0)</f>
        <v>0</v>
      </c>
      <c r="H10" s="16"/>
      <c r="I10" t="s">
        <v>38</v>
      </c>
      <c r="J10" s="19">
        <f>_xlfn.RANK.EQ(Gruppen!K12,Gruppen!K$12:K$15,0)</f>
        <v>2</v>
      </c>
      <c r="K10" s="21" t="str">
        <f>IF(COUNTIF(J$10:J$13,J10)=1,"",1)</f>
        <v/>
      </c>
      <c r="L10" t="str">
        <f>IF(K10=1,Ränge1!M10,"")</f>
        <v/>
      </c>
      <c r="M10" t="str">
        <f>IF(K10=2,Ränge1!M10,"")</f>
        <v/>
      </c>
      <c r="N10">
        <f>IF(K10=1,_xlfn.RANK.EQ(L10,L$10:L$13),0)</f>
        <v>0</v>
      </c>
      <c r="O10">
        <f>IF(K10=2,_xlfn.RANK.EQ(M10,M$10:M$13),0)</f>
        <v>0</v>
      </c>
      <c r="P10" s="19">
        <f>IF(K10&lt;&gt;"",J10+N10+O10-1,J10)</f>
        <v>2</v>
      </c>
      <c r="Q10" t="str">
        <f>IF(COUNTIF(P$10:P$13,P10)=1,"",1)</f>
        <v/>
      </c>
      <c r="R10" t="str">
        <f>IF(Q10=1,Ränge1!N10,"")</f>
        <v/>
      </c>
      <c r="S10" t="str">
        <f>IF(Q10=2,Ränge1!N10,"")</f>
        <v/>
      </c>
      <c r="T10">
        <f>IF($Q10=1,_xlfn.RANK.EQ(R10,R$10:R$13),0)</f>
        <v>0</v>
      </c>
      <c r="U10">
        <f>IF($Q10=2,_xlfn.RANK.EQ(S10,S$10:S$13),0)</f>
        <v>0</v>
      </c>
      <c r="V10" s="19">
        <f>IF(Q10&lt;&gt;"",P10+T10+U10-1,P10)</f>
        <v>2</v>
      </c>
      <c r="W10" t="str">
        <f>IF(COUNTIF(V$10:V$13,V10)=1,"",1)</f>
        <v/>
      </c>
      <c r="X10" t="str">
        <f>IF(W10=1,Ränge1!O10,"")</f>
        <v/>
      </c>
      <c r="Y10" t="str">
        <f>IF(W10=2,Ränge1!O10,"")</f>
        <v/>
      </c>
      <c r="Z10">
        <f>IF($W10=1,_xlfn.RANK.EQ(X10,X$10:X$13),0)</f>
        <v>0</v>
      </c>
      <c r="AA10">
        <f>IF($W10=2,_xlfn.RANK.EQ(Y10,Y$10:Y$13),0)</f>
        <v>0</v>
      </c>
      <c r="AB10" s="19">
        <f>IF(W10&lt;&gt;"",V10+Z10+AA10-1,V10)</f>
        <v>2</v>
      </c>
      <c r="AC10" t="str">
        <f>IF(COUNTIF(AB$10:AB$13,AB10)=1,"",1)</f>
        <v/>
      </c>
      <c r="AD10" t="str">
        <f>IF(AC10=1,Ränge1!P10,"")</f>
        <v/>
      </c>
      <c r="AE10" t="str">
        <f>IF(AC10=2,Ränge1!P10,"")</f>
        <v/>
      </c>
      <c r="AF10">
        <f>IF($AC10=1,_xlfn.RANK.EQ(AD10,AD$10:AD$13),0)</f>
        <v>0</v>
      </c>
      <c r="AG10">
        <f>IF($AC10=2,_xlfn.RANK.EQ(AE10,AE$10:AE$13),0)</f>
        <v>0</v>
      </c>
      <c r="AH10" s="19">
        <f>IF(AC10&lt;&gt;"",AB10+AF10+AG10-1,AB10)</f>
        <v>2</v>
      </c>
      <c r="AI10" t="str">
        <f>IF(COUNTIF(AH$10:AH$13,AH10)=1,"",1)</f>
        <v/>
      </c>
      <c r="AJ10" t="str">
        <f>IF($AI10=1,Ränge1!Q10,"")</f>
        <v/>
      </c>
      <c r="AK10" t="str">
        <f>IF($AI10=2,Ränge1!Q10,"")</f>
        <v/>
      </c>
      <c r="AL10">
        <f>IF($AI10=1,_xlfn.RANK.EQ(AJ10,AJ$10:AJ$13),0)</f>
        <v>0</v>
      </c>
      <c r="AM10">
        <f>IF($AI10=2,_xlfn.RANK.EQ(AK10,AK$7:AK$13),0)</f>
        <v>0</v>
      </c>
      <c r="AN10" s="19">
        <f>IF(AI10&lt;&gt;"",AH10+AL10+AM10-1,AH10)</f>
        <v>2</v>
      </c>
      <c r="AO10" s="20">
        <f>AN10</f>
        <v>2</v>
      </c>
      <c r="AP10" t="s">
        <v>38</v>
      </c>
    </row>
    <row r="11" spans="1:42" x14ac:dyDescent="0.2">
      <c r="A11" s="14" t="s">
        <v>199</v>
      </c>
      <c r="B11">
        <f>IF(Tabelle!AD15&lt;Tabelle!AF15,1,0)</f>
        <v>1</v>
      </c>
      <c r="C11">
        <f>IF(Tabelle!AD17&lt;Tabelle!AF17,1,0)</f>
        <v>1</v>
      </c>
      <c r="D11">
        <f>IF(Tabelle!AD19&gt;Tabelle!AF19,1,0)</f>
        <v>1</v>
      </c>
      <c r="E11">
        <f>IF(AND(Tabelle!AD15=Tabelle!AF15,Tabelle!AD15&lt;&gt;""),1,0)</f>
        <v>0</v>
      </c>
      <c r="F11">
        <f>IF(AND(Tabelle!AD17=Tabelle!AF17,Tabelle!AD17&lt;&gt;""),1,0)</f>
        <v>0</v>
      </c>
      <c r="G11" s="15">
        <f>IF(AND(Tabelle!AD19=Tabelle!AF19,Tabelle!AD19&lt;&gt;""),1,0)</f>
        <v>0</v>
      </c>
      <c r="H11" s="16"/>
      <c r="I11" t="s">
        <v>28</v>
      </c>
      <c r="J11" s="19">
        <f>_xlfn.RANK.EQ(Gruppen!K13,Gruppen!K$12:K$15,0)</f>
        <v>1</v>
      </c>
      <c r="K11" s="21" t="str">
        <f>IF(COUNTIF(J$10:J$13,J11)=1,"",IF(AND(COUNT(K$10)&gt;0,J$10&lt;&gt;J11),2,1))</f>
        <v/>
      </c>
      <c r="L11" t="str">
        <f>IF(K11=1,Ränge1!M11,"")</f>
        <v/>
      </c>
      <c r="M11" t="str">
        <f>IF(K11=2,Ränge1!M11,"")</f>
        <v/>
      </c>
      <c r="N11">
        <f>IF(K11=1,_xlfn.RANK.EQ(L11,L$10:L$13),0)</f>
        <v>0</v>
      </c>
      <c r="O11">
        <f>IF(K11=2,_xlfn.RANK.EQ(M11,M$10:M$13),0)</f>
        <v>0</v>
      </c>
      <c r="P11" s="19">
        <f>IF(K11&lt;&gt;"",J11+N11+O11-1,J11)</f>
        <v>1</v>
      </c>
      <c r="Q11" t="str">
        <f>IF(COUNTIF(P$10:P$13,P11)=1,"",IF(AND(COUNT(Q$10)&gt;0,P$10&lt;&gt;P11),2,1))</f>
        <v/>
      </c>
      <c r="R11" t="str">
        <f>IF(Q11=1,Ränge1!N11,"")</f>
        <v/>
      </c>
      <c r="S11" t="str">
        <f>IF(Q11=2,Ränge1!N11,"")</f>
        <v/>
      </c>
      <c r="T11">
        <f>IF($Q11=1,_xlfn.RANK.EQ(R11,R$10:R$13),0)</f>
        <v>0</v>
      </c>
      <c r="U11">
        <f>IF($Q11=2,_xlfn.RANK.EQ(S11,S$10:S$13),0)</f>
        <v>0</v>
      </c>
      <c r="V11" s="19">
        <f>IF(Q11&lt;&gt;"",P11+T11+U11-1,P11)</f>
        <v>1</v>
      </c>
      <c r="W11" t="str">
        <f>IF(COUNTIF(V$10:V$13,V11)=1,"",IF(AND(COUNT(W$10)&gt;0,V$10&lt;&gt;V11),2,1))</f>
        <v/>
      </c>
      <c r="X11" t="str">
        <f>IF(W11=1,Ränge1!O11,"")</f>
        <v/>
      </c>
      <c r="Y11" t="str">
        <f>IF(W11=2,Ränge1!O11,"")</f>
        <v/>
      </c>
      <c r="Z11">
        <f>IF($W11=1,_xlfn.RANK.EQ(X11,X$10:X$13),0)</f>
        <v>0</v>
      </c>
      <c r="AA11">
        <f>IF($W11=2,_xlfn.RANK.EQ(Y11,Y$10:Y$13),0)</f>
        <v>0</v>
      </c>
      <c r="AB11" s="19">
        <f>IF(W11&lt;&gt;"",V11+Z11+AA11-1,V11)</f>
        <v>1</v>
      </c>
      <c r="AC11" t="str">
        <f>IF(COUNTIF(AB$10:AB$13,AB11)=1,"",IF(AND(COUNT(AC$10)&gt;0,AB$10&lt;&gt;AB11),2,1))</f>
        <v/>
      </c>
      <c r="AD11" t="str">
        <f>IF(AC11=1,Ränge1!P11,"")</f>
        <v/>
      </c>
      <c r="AE11" t="str">
        <f>IF(AC11=2,Ränge1!P11,"")</f>
        <v/>
      </c>
      <c r="AF11">
        <f>IF($AC11=1,_xlfn.RANK.EQ(AD11,AD$10:AD$13),0)</f>
        <v>0</v>
      </c>
      <c r="AG11">
        <f>IF($AC11=2,_xlfn.RANK.EQ(AE11,AE$10:AE$13),0)</f>
        <v>0</v>
      </c>
      <c r="AH11" s="19">
        <f>IF(AC11&lt;&gt;"",AB11+AF11+AG11-1,AB11)</f>
        <v>1</v>
      </c>
      <c r="AI11" t="str">
        <f>IF(COUNTIF(AH$10:AH$13,AH11)=1,"",IF(AND(COUNT(AI$10)&gt;0,AH$10&lt;&gt;AH11),2,1))</f>
        <v/>
      </c>
      <c r="AJ11" t="str">
        <f>IF($AI11=1,Ränge1!Q11,"")</f>
        <v/>
      </c>
      <c r="AK11" t="str">
        <f>IF($AI11=2,Ränge1!Q11,"")</f>
        <v/>
      </c>
      <c r="AL11">
        <f>IF($AI11=1,_xlfn.RANK.EQ(AJ11,AJ$10:AJ$13),0)</f>
        <v>0</v>
      </c>
      <c r="AM11">
        <f>IF($AI11=2,_xlfn.RANK.EQ(AK11,AK$7:AK$13),0)</f>
        <v>0</v>
      </c>
      <c r="AN11" s="19">
        <f>IF(AI11&lt;&gt;"",AH11+AL11+AM11-1,AH11)</f>
        <v>1</v>
      </c>
      <c r="AO11" s="20">
        <f>AN11</f>
        <v>1</v>
      </c>
      <c r="AP11" t="s">
        <v>28</v>
      </c>
    </row>
    <row r="12" spans="1:42" x14ac:dyDescent="0.2">
      <c r="A12" s="14" t="s">
        <v>200</v>
      </c>
      <c r="B12">
        <f>IF(Tabelle!AD14&gt;Tabelle!AF14,1,0)</f>
        <v>1</v>
      </c>
      <c r="C12">
        <f>IF(Tabelle!AD16&lt;Tabelle!AF16,1,0)</f>
        <v>0</v>
      </c>
      <c r="D12">
        <f>IF(Tabelle!AD19&lt;Tabelle!AF19,1,0)</f>
        <v>0</v>
      </c>
      <c r="E12">
        <f>IF(AND(Tabelle!AD14=Tabelle!AF14,Tabelle!AD14&lt;&gt;""),1,0)</f>
        <v>0</v>
      </c>
      <c r="F12">
        <f>IF(AND(Tabelle!AD16=Tabelle!AF16,Tabelle!AD16&lt;&gt;""),1,0)</f>
        <v>0</v>
      </c>
      <c r="G12" s="15">
        <f>IF(AND(Tabelle!AD19=Tabelle!AF19,Tabelle!AD19&lt;&gt;""),1,0)</f>
        <v>0</v>
      </c>
      <c r="H12" s="16"/>
      <c r="I12" t="s">
        <v>149</v>
      </c>
      <c r="J12" s="19">
        <f>_xlfn.RANK.EQ(Gruppen!K14,Gruppen!K$12:K$15,0)</f>
        <v>3</v>
      </c>
      <c r="K12" s="21" t="str">
        <f>IF(COUNTIF(J$10:J$13,J12)=1,"",IF(AND(COUNT(K$10)&gt;0,J$10&lt;&gt;J12),2,1))</f>
        <v/>
      </c>
      <c r="L12" t="str">
        <f>IF(K12=1,Ränge1!M12,"")</f>
        <v/>
      </c>
      <c r="M12" t="str">
        <f>IF(K12=2,Ränge1!M12,"")</f>
        <v/>
      </c>
      <c r="N12">
        <f>IF(K12=1,_xlfn.RANK.EQ(L12,L$10:L$13),0)</f>
        <v>0</v>
      </c>
      <c r="O12">
        <f>IF(K12=2,_xlfn.RANK.EQ(M12,M$10:M$13),0)</f>
        <v>0</v>
      </c>
      <c r="P12" s="19">
        <f>IF(K12&lt;&gt;"",J12+N12+O12-1,J12)</f>
        <v>3</v>
      </c>
      <c r="Q12" t="str">
        <f>IF(COUNTIF(P$10:P$13,P12)=1,"",IF(AND(COUNT(Q$10)&gt;0,P$10&lt;&gt;P12),2,1))</f>
        <v/>
      </c>
      <c r="R12" t="str">
        <f>IF(Q12=1,Ränge1!N12,"")</f>
        <v/>
      </c>
      <c r="S12" t="str">
        <f>IF(Q12=2,Ränge1!N12,"")</f>
        <v/>
      </c>
      <c r="T12">
        <f>IF($Q12=1,_xlfn.RANK.EQ(R12,R$10:R$13),0)</f>
        <v>0</v>
      </c>
      <c r="U12">
        <f>IF($Q12=2,_xlfn.RANK.EQ(S12,S$10:S$13),0)</f>
        <v>0</v>
      </c>
      <c r="V12" s="19">
        <f>IF(Q12&lt;&gt;"",P12+T12+U12-1,P12)</f>
        <v>3</v>
      </c>
      <c r="W12" t="str">
        <f>IF(COUNTIF(V$10:V$13,V12)=1,"",IF(AND(COUNT(W$10)&gt;0,V$10&lt;&gt;V12),2,1))</f>
        <v/>
      </c>
      <c r="X12" t="str">
        <f>IF(W12=1,Ränge1!O12,"")</f>
        <v/>
      </c>
      <c r="Y12" t="str">
        <f>IF(W12=2,Ränge1!O12,"")</f>
        <v/>
      </c>
      <c r="Z12">
        <f>IF($W12=1,_xlfn.RANK.EQ(X12,X$10:X$13),0)</f>
        <v>0</v>
      </c>
      <c r="AA12">
        <f>IF($W12=2,_xlfn.RANK.EQ(Y12,Y$10:Y$13),0)</f>
        <v>0</v>
      </c>
      <c r="AB12" s="19">
        <f>IF(W12&lt;&gt;"",V12+Z12+AA12-1,V12)</f>
        <v>3</v>
      </c>
      <c r="AC12" t="str">
        <f>IF(COUNTIF(AB$10:AB$13,AB12)=1,"",IF(AND(COUNT(AC$10)&gt;0,AB$10&lt;&gt;AB12),2,1))</f>
        <v/>
      </c>
      <c r="AD12" t="str">
        <f>IF(AC12=1,Ränge1!P12,"")</f>
        <v/>
      </c>
      <c r="AE12" t="str">
        <f>IF(AC12=2,Ränge1!P12,"")</f>
        <v/>
      </c>
      <c r="AF12">
        <f>IF($AC12=1,_xlfn.RANK.EQ(AD12,AD$10:AD$13),0)</f>
        <v>0</v>
      </c>
      <c r="AG12">
        <f>IF($AC12=2,_xlfn.RANK.EQ(AE12,AE$10:AE$13),0)</f>
        <v>0</v>
      </c>
      <c r="AH12" s="19">
        <f>IF(AC12&lt;&gt;"",AB12+AF12+AG12-1,AB12)</f>
        <v>3</v>
      </c>
      <c r="AI12" t="str">
        <f>IF(COUNTIF(AH$10:AH$13,AH12)=1,"",IF(AND(COUNT(AI$10)&gt;0,AH$10&lt;&gt;AH12),2,1))</f>
        <v/>
      </c>
      <c r="AJ12" t="str">
        <f>IF($AI12=1,Ränge1!Q12,"")</f>
        <v/>
      </c>
      <c r="AK12" t="str">
        <f>IF($AI12=2,Ränge1!Q12,"")</f>
        <v/>
      </c>
      <c r="AL12">
        <f>IF($AI12=1,_xlfn.RANK.EQ(AJ12,AJ$10:AJ$13),0)</f>
        <v>0</v>
      </c>
      <c r="AM12">
        <f>IF($AI12=2,_xlfn.RANK.EQ(AK12,AK$7:AK$13),0)</f>
        <v>0</v>
      </c>
      <c r="AN12" s="19">
        <f>IF(AI12&lt;&gt;"",AH12+AL12+AM12-1,AH12)</f>
        <v>3</v>
      </c>
      <c r="AO12" s="20">
        <f>AN12</f>
        <v>3</v>
      </c>
      <c r="AP12" t="s">
        <v>149</v>
      </c>
    </row>
    <row r="13" spans="1:42" x14ac:dyDescent="0.2">
      <c r="A13" s="14" t="s">
        <v>201</v>
      </c>
      <c r="B13">
        <f>IF(Tabelle!AD14&lt;Tabelle!AF14,1,0)</f>
        <v>0</v>
      </c>
      <c r="C13">
        <f>IF(Tabelle!AD17&gt;Tabelle!AF17,1,0)</f>
        <v>0</v>
      </c>
      <c r="D13">
        <f>IF(Tabelle!AD18&gt;Tabelle!AF18,1,0)</f>
        <v>0</v>
      </c>
      <c r="E13">
        <f>IF(AND(Tabelle!AD14=Tabelle!AF14,Tabelle!AD14&lt;&gt;""),1,0)</f>
        <v>0</v>
      </c>
      <c r="F13">
        <f>IF(AND(Tabelle!AD17=Tabelle!AF17,Tabelle!AD17&lt;&gt;""),1,0)</f>
        <v>0</v>
      </c>
      <c r="G13" s="15">
        <f>IF(AND(Tabelle!AD18=Tabelle!AF18,Tabelle!AD18&lt;&gt;""),1,0)</f>
        <v>0</v>
      </c>
      <c r="H13" s="16"/>
      <c r="I13" t="s">
        <v>150</v>
      </c>
      <c r="J13" s="19">
        <f>_xlfn.RANK.EQ(Gruppen!K15,Gruppen!K$12:K$15,0)</f>
        <v>4</v>
      </c>
      <c r="K13" s="21" t="str">
        <f>IF(COUNTIF(J$10:J$13,J13)=1,"",IF(AND(COUNT(K$10)&gt;0,J$10&lt;&gt;J13),2,1))</f>
        <v/>
      </c>
      <c r="L13" t="str">
        <f>IF(K13=1,Ränge1!M13,"")</f>
        <v/>
      </c>
      <c r="M13" t="str">
        <f>IF(K13=2,Ränge1!M13,"")</f>
        <v/>
      </c>
      <c r="N13">
        <f>IF(K13=1,_xlfn.RANK.EQ(L13,L$10:L$13),0)</f>
        <v>0</v>
      </c>
      <c r="O13">
        <f>IF(K13=2,_xlfn.RANK.EQ(M13,M$10:M$13),0)</f>
        <v>0</v>
      </c>
      <c r="P13" s="19">
        <f>IF(K13&lt;&gt;"",J13+N13+O13-1,J13)</f>
        <v>4</v>
      </c>
      <c r="Q13" t="str">
        <f>IF(COUNTIF(P$10:P$13,P13)=1,"",IF(AND(COUNT(Q$10)&gt;0,P$10&lt;&gt;P13),2,1))</f>
        <v/>
      </c>
      <c r="R13" t="str">
        <f>IF(Q13=1,Ränge1!N13,"")</f>
        <v/>
      </c>
      <c r="S13" t="str">
        <f>IF(Q13=2,Ränge1!N13,"")</f>
        <v/>
      </c>
      <c r="T13">
        <f>IF($Q13=1,_xlfn.RANK.EQ(R13,R$10:R$13),0)</f>
        <v>0</v>
      </c>
      <c r="U13">
        <f>IF($Q13=2,_xlfn.RANK.EQ(S13,S$10:S$13),0)</f>
        <v>0</v>
      </c>
      <c r="V13" s="19">
        <f>IF(Q13&lt;&gt;"",P13+T13+U13-1,P13)</f>
        <v>4</v>
      </c>
      <c r="W13" t="str">
        <f>IF(COUNTIF(V$10:V$13,V13)=1,"",IF(AND(COUNT(W$10)&gt;0,V$10&lt;&gt;V13),2,1))</f>
        <v/>
      </c>
      <c r="X13" t="str">
        <f>IF(W13=1,Ränge1!O13,"")</f>
        <v/>
      </c>
      <c r="Y13" t="str">
        <f>IF(W13=2,Ränge1!O13,"")</f>
        <v/>
      </c>
      <c r="Z13">
        <f>IF($W13=1,_xlfn.RANK.EQ(X13,X$10:X$13),0)</f>
        <v>0</v>
      </c>
      <c r="AA13">
        <f>IF($W13=2,_xlfn.RANK.EQ(Y13,Y$10:Y$13),0)</f>
        <v>0</v>
      </c>
      <c r="AB13" s="19">
        <f>IF(W13&lt;&gt;"",V13+Z13+AA13-1,V13)</f>
        <v>4</v>
      </c>
      <c r="AC13" t="str">
        <f>IF(COUNTIF(AB$10:AB$13,AB13)=1,"",IF(AND(COUNT(AC$10)&gt;0,AB$10&lt;&gt;AB13),2,1))</f>
        <v/>
      </c>
      <c r="AD13" t="str">
        <f>IF(AC13=1,Ränge1!P13,"")</f>
        <v/>
      </c>
      <c r="AE13" t="str">
        <f>IF(AC13=2,Ränge1!P13,"")</f>
        <v/>
      </c>
      <c r="AF13">
        <f>IF($AC13=1,_xlfn.RANK.EQ(AD13,AD$10:AD$13),0)</f>
        <v>0</v>
      </c>
      <c r="AG13">
        <f>IF($AC13=2,_xlfn.RANK.EQ(AE13,AE$10:AE$13),0)</f>
        <v>0</v>
      </c>
      <c r="AH13" s="19">
        <f>IF(AC13&lt;&gt;"",AB13+AF13+AG13-1,AB13)</f>
        <v>4</v>
      </c>
      <c r="AI13" t="str">
        <f>IF(COUNTIF(AH$10:AH$13,AH13)=1,"",IF(AND(COUNT(AI$10)&gt;0,AH$10&lt;&gt;AH13),2,1))</f>
        <v/>
      </c>
      <c r="AJ13" t="str">
        <f>IF($AI13=1,Ränge1!Q13,"")</f>
        <v/>
      </c>
      <c r="AK13" t="str">
        <f>IF($AI13=2,Ränge1!Q13,"")</f>
        <v/>
      </c>
      <c r="AL13">
        <f>IF($AI13=1,_xlfn.RANK.EQ(AJ13,AJ$10:AJ$13),0)</f>
        <v>0</v>
      </c>
      <c r="AM13">
        <f>IF($AI13=2,_xlfn.RANK.EQ(AK13,AK$7:AK$13),0)</f>
        <v>0</v>
      </c>
      <c r="AN13" s="19">
        <f>IF(AI13&lt;&gt;"",AH13+AL13+AM13-1,AH13)</f>
        <v>4</v>
      </c>
      <c r="AO13" s="20">
        <f>AN13</f>
        <v>4</v>
      </c>
      <c r="AP13" t="s">
        <v>150</v>
      </c>
    </row>
    <row r="14" spans="1:42" x14ac:dyDescent="0.2">
      <c r="A14" s="14"/>
      <c r="G14" s="15"/>
      <c r="H14" s="16"/>
      <c r="K14" s="21"/>
    </row>
    <row r="15" spans="1:42" x14ac:dyDescent="0.2">
      <c r="A15" s="14"/>
      <c r="G15" s="15"/>
      <c r="H15" s="16"/>
      <c r="J15" t="s">
        <v>82</v>
      </c>
      <c r="K15" t="s">
        <v>83</v>
      </c>
      <c r="L15" t="s">
        <v>84</v>
      </c>
      <c r="M15" t="s">
        <v>85</v>
      </c>
      <c r="N15" t="s">
        <v>86</v>
      </c>
      <c r="O15" t="s">
        <v>87</v>
      </c>
      <c r="P15" t="s">
        <v>88</v>
      </c>
      <c r="Q15" t="s">
        <v>89</v>
      </c>
      <c r="R15" t="s">
        <v>90</v>
      </c>
      <c r="S15" t="s">
        <v>91</v>
      </c>
      <c r="T15" t="s">
        <v>92</v>
      </c>
      <c r="U15" t="s">
        <v>93</v>
      </c>
      <c r="V15" t="s">
        <v>94</v>
      </c>
      <c r="W15" t="s">
        <v>95</v>
      </c>
      <c r="X15" t="s">
        <v>96</v>
      </c>
      <c r="Y15" t="s">
        <v>97</v>
      </c>
      <c r="Z15" t="s">
        <v>98</v>
      </c>
      <c r="AA15" t="s">
        <v>99</v>
      </c>
      <c r="AB15" t="s">
        <v>100</v>
      </c>
      <c r="AC15" t="s">
        <v>101</v>
      </c>
      <c r="AD15" t="s">
        <v>102</v>
      </c>
      <c r="AE15" t="s">
        <v>103</v>
      </c>
      <c r="AF15" t="s">
        <v>104</v>
      </c>
      <c r="AG15" t="s">
        <v>105</v>
      </c>
      <c r="AH15" t="s">
        <v>106</v>
      </c>
      <c r="AI15" t="s">
        <v>107</v>
      </c>
      <c r="AJ15" t="s">
        <v>108</v>
      </c>
      <c r="AK15" t="s">
        <v>109</v>
      </c>
      <c r="AL15" t="s">
        <v>110</v>
      </c>
      <c r="AM15" t="s">
        <v>111</v>
      </c>
      <c r="AN15" t="s">
        <v>112</v>
      </c>
      <c r="AO15" t="s">
        <v>113</v>
      </c>
    </row>
    <row r="16" spans="1:42" x14ac:dyDescent="0.2">
      <c r="A16" s="14" t="s">
        <v>202</v>
      </c>
      <c r="B16">
        <f>IF(Tabelle!M31&gt;Tabelle!O31,1,0)</f>
        <v>1</v>
      </c>
      <c r="C16">
        <f>IF(Tabelle!M34&gt;Tabelle!O34,1,0)</f>
        <v>1</v>
      </c>
      <c r="D16">
        <f>IF(Tabelle!O35&gt;Tabelle!M35,1,0)</f>
        <v>0</v>
      </c>
      <c r="E16">
        <f>IF(AND(Tabelle!M31=Tabelle!O31,Tabelle!M31&lt;&gt;""),1,0)</f>
        <v>0</v>
      </c>
      <c r="F16">
        <f>IF(AND(Tabelle!M34=Tabelle!O34,Tabelle!M34&lt;&gt;""),1,0)</f>
        <v>0</v>
      </c>
      <c r="G16">
        <f>IF(AND(Tabelle!M35=Tabelle!O35,Tabelle!M35&lt;&gt;""),1,0)</f>
        <v>1</v>
      </c>
      <c r="H16" s="16"/>
      <c r="I16" t="s">
        <v>11</v>
      </c>
      <c r="J16" s="19">
        <f>_xlfn.RANK.EQ(Gruppen!K18,Gruppen!K$18:K$21,0)</f>
        <v>1</v>
      </c>
      <c r="K16" s="21">
        <f>IF(COUNTIF(J$16:J$19,J16)=1,"",1)</f>
        <v>1</v>
      </c>
      <c r="L16">
        <f>IF(K16=1,Ränge1!M16,"")</f>
        <v>4</v>
      </c>
      <c r="M16" t="str">
        <f>IF(K16=2,Ränge1!M16,"")</f>
        <v/>
      </c>
      <c r="N16">
        <f>IF(K16=1,_xlfn.RANK.EQ(L16,L$16:L$19),0)</f>
        <v>1</v>
      </c>
      <c r="O16">
        <f>IF(K16=2,_xlfn.RANK.EQ(M16,M$16:M$19),0)</f>
        <v>0</v>
      </c>
      <c r="P16" s="19">
        <f>IF(K16&lt;&gt;"",J16+N16+O16-1,J16)</f>
        <v>1</v>
      </c>
      <c r="Q16">
        <f>IF(COUNTIF(P$16:P$19,P16)=1,"",1)</f>
        <v>1</v>
      </c>
      <c r="R16">
        <f>IF(Q16=1,Ränge1!N16,"")</f>
        <v>6</v>
      </c>
      <c r="S16" t="str">
        <f>IF(Q16=2,Ränge1!N16,"")</f>
        <v/>
      </c>
      <c r="T16">
        <f>IF($Q16=1,_xlfn.RANK.EQ(R16,R$16:R$19),0)</f>
        <v>1</v>
      </c>
      <c r="U16">
        <f>IF($Q16=2,_xlfn.RANK.EQ(S16,S$16:S$19),0)</f>
        <v>0</v>
      </c>
      <c r="V16" s="19">
        <f>IF(Q16&lt;&gt;"",P16+T16+U16-1,P16)</f>
        <v>1</v>
      </c>
      <c r="W16" t="str">
        <f>IF(COUNTIF(V$16:V$19,V16)=1,"",1)</f>
        <v/>
      </c>
      <c r="X16" t="str">
        <f>IF(W16=1,Ränge1!O16,"")</f>
        <v/>
      </c>
      <c r="Y16" t="str">
        <f>IF(W16=2,Ränge1!O16,"")</f>
        <v/>
      </c>
      <c r="Z16">
        <f>IF($W16=1,_xlfn.RANK.EQ(X16,X$16:X$19),0)</f>
        <v>0</v>
      </c>
      <c r="AA16">
        <f>IF($W16=2,_xlfn.RANK.EQ(Y16,Y$16:Y$19),0)</f>
        <v>0</v>
      </c>
      <c r="AB16" s="19">
        <f>IF(W16&lt;&gt;"",V16+Z16+AA16-1,V16)</f>
        <v>1</v>
      </c>
      <c r="AC16" t="str">
        <f>IF(COUNTIF(AB$16:AB$19,AB16)=1,"",1)</f>
        <v/>
      </c>
      <c r="AD16" t="str">
        <f>IF(AC16=1,Ränge1!P16,"")</f>
        <v/>
      </c>
      <c r="AE16" t="str">
        <f>IF(AC16=2,Ränge1!P16,"")</f>
        <v/>
      </c>
      <c r="AF16">
        <f>IF($AC16=1,_xlfn.RANK.EQ(AD16,AD$16:AD$19),0)</f>
        <v>0</v>
      </c>
      <c r="AG16">
        <f>IF($AC16=2,_xlfn.RANK.EQ(AE16,AE$16:AE$19),0)</f>
        <v>0</v>
      </c>
      <c r="AH16" s="19">
        <f>IF(AC16&lt;&gt;"",AB16+AF16+AG16-1,AB16)</f>
        <v>1</v>
      </c>
      <c r="AI16" t="str">
        <f>IF(COUNTIF(AH$16:AH$19,AH16)=1,"",1)</f>
        <v/>
      </c>
      <c r="AJ16" t="str">
        <f>IF($AI16=1,Ränge1!Q16,"")</f>
        <v/>
      </c>
      <c r="AK16" t="str">
        <f>IF($AI16=2,Ränge1!Q16,"")</f>
        <v/>
      </c>
      <c r="AL16">
        <f>IF($AI16=1,_xlfn.RANK.EQ(AJ16,AJ$16:AJ$19),0)</f>
        <v>0</v>
      </c>
      <c r="AM16">
        <f>IF($AI16=2,_xlfn.RANK.EQ(AK16,AK$16:AK$19),0)</f>
        <v>0</v>
      </c>
      <c r="AN16" s="19">
        <f>IF(AI16&lt;&gt;"",AH16+AL16+AM16-1,AH16)</f>
        <v>1</v>
      </c>
      <c r="AO16" s="20">
        <f>AN16</f>
        <v>1</v>
      </c>
      <c r="AP16" t="s">
        <v>11</v>
      </c>
    </row>
    <row r="17" spans="1:42" x14ac:dyDescent="0.2">
      <c r="A17" s="14" t="s">
        <v>203</v>
      </c>
      <c r="B17">
        <f>IF(Tabelle!O31&gt;Tabelle!M31,1,0)</f>
        <v>0</v>
      </c>
      <c r="C17">
        <f>IF(Tabelle!M33&lt;Tabelle!O33,1,0)</f>
        <v>0</v>
      </c>
      <c r="D17">
        <f>IF(Tabelle!M36&gt;Tabelle!O36,1,0)</f>
        <v>0</v>
      </c>
      <c r="E17">
        <f>IF(AND(Tabelle!M31=Tabelle!O31,Tabelle!M31&lt;&gt;""),1,0)</f>
        <v>0</v>
      </c>
      <c r="F17">
        <f>IF(AND(Tabelle!M33=Tabelle!O33,Tabelle!M33&lt;&gt;""),1,0)</f>
        <v>0</v>
      </c>
      <c r="G17">
        <f>IF(AND(Tabelle!M36=Tabelle!O36,Tabelle!M36&lt;&gt;""),1,0)</f>
        <v>0</v>
      </c>
      <c r="H17" s="16"/>
      <c r="I17" t="s">
        <v>151</v>
      </c>
      <c r="J17" s="19">
        <f>_xlfn.RANK.EQ(Gruppen!K19,Gruppen!K$18:K$21,0)</f>
        <v>4</v>
      </c>
      <c r="K17" s="21" t="str">
        <f>IF(COUNTIF(J$16:J$19,J17)=1,"",IF(AND(COUNT(K$16)&gt;0,J$16&lt;&gt;J17),2,1))</f>
        <v/>
      </c>
      <c r="L17" t="str">
        <f>IF(K17=1,Ränge1!M17,"")</f>
        <v/>
      </c>
      <c r="M17" t="str">
        <f>IF(K17=2,Ränge1!M17,"")</f>
        <v/>
      </c>
      <c r="N17">
        <f>IF(K17=1,_xlfn.RANK.EQ(L17,L$16:L$19),0)</f>
        <v>0</v>
      </c>
      <c r="O17">
        <f>IF(K17=2,_xlfn.RANK.EQ(M17,M$16:M$19),0)</f>
        <v>0</v>
      </c>
      <c r="P17" s="19">
        <f>IF(K17&lt;&gt;"",J17+N17+O17-1,J17)</f>
        <v>4</v>
      </c>
      <c r="Q17" t="str">
        <f>IF(COUNTIF(P$16:P$19,P17)=1,"",IF(AND(COUNT(Q$16)&gt;0,P$16&lt;&gt;P17),2,1))</f>
        <v/>
      </c>
      <c r="R17" t="str">
        <f>IF(Q17=1,Ränge1!N17,"")</f>
        <v/>
      </c>
      <c r="S17" t="str">
        <f>IF(Q17=2,Ränge1!N17,"")</f>
        <v/>
      </c>
      <c r="T17">
        <f>IF($Q17=1,_xlfn.RANK.EQ(R17,R$16:R$19),0)</f>
        <v>0</v>
      </c>
      <c r="U17">
        <f>IF($Q17=2,_xlfn.RANK.EQ(S17,S$16:S$19),0)</f>
        <v>0</v>
      </c>
      <c r="V17" s="19">
        <f>IF(Q17&lt;&gt;"",P17+T17+U17-1,P17)</f>
        <v>4</v>
      </c>
      <c r="W17" t="str">
        <f>IF(COUNTIF(V$16:V$19,V17)=1,"",IF(AND(COUNT(W$16)&gt;0,V$16&lt;&gt;V17),2,1))</f>
        <v/>
      </c>
      <c r="X17" t="str">
        <f>IF(W17=1,Ränge1!O17,"")</f>
        <v/>
      </c>
      <c r="Y17" t="str">
        <f>IF(W17=2,Ränge1!O17,"")</f>
        <v/>
      </c>
      <c r="Z17">
        <f>IF($W17=1,_xlfn.RANK.EQ(X17,X$16:X$19),0)</f>
        <v>0</v>
      </c>
      <c r="AA17">
        <f>IF($W17=2,_xlfn.RANK.EQ(Y17,Y$16:Y$19),0)</f>
        <v>0</v>
      </c>
      <c r="AB17" s="19">
        <f>IF(W17&lt;&gt;"",V17+Z17+AA17-1,V17)</f>
        <v>4</v>
      </c>
      <c r="AC17" t="str">
        <f>IF(COUNTIF(AB$16:AB$19,AB17)=1,"",IF(AND(COUNT(AC$16)&gt;0,AB$16&lt;&gt;AB17),2,1))</f>
        <v/>
      </c>
      <c r="AD17" t="str">
        <f>IF(AC17=1,Ränge1!P17,"")</f>
        <v/>
      </c>
      <c r="AE17" t="str">
        <f>IF(AC17=2,Ränge1!P17,"")</f>
        <v/>
      </c>
      <c r="AF17">
        <f>IF($AC17=1,_xlfn.RANK.EQ(AD17,AD$16:AD$19),0)</f>
        <v>0</v>
      </c>
      <c r="AG17">
        <f>IF($AC17=2,_xlfn.RANK.EQ(AE17,AE$16:AE$19),0)</f>
        <v>0</v>
      </c>
      <c r="AH17" s="19">
        <f>IF(AC17&lt;&gt;"",AB17+AF17+AG17-1,AB17)</f>
        <v>4</v>
      </c>
      <c r="AI17" t="str">
        <f>IF(COUNTIF(AH$16:AH$19,AH17)=1,"",IF(AND(COUNT(AI$16)&gt;0,AH$16&lt;&gt;AH17),2,1))</f>
        <v/>
      </c>
      <c r="AJ17" t="str">
        <f>IF($AI17=1,Ränge1!Q17,"")</f>
        <v/>
      </c>
      <c r="AK17" t="str">
        <f>IF($AI17=2,Ränge1!Q17,"")</f>
        <v/>
      </c>
      <c r="AL17">
        <f>IF($AI17=1,_xlfn.RANK.EQ(AJ17,AJ$16:AJ$19),0)</f>
        <v>0</v>
      </c>
      <c r="AM17">
        <f>IF($AI17=2,_xlfn.RANK.EQ(AK17,AK$16:AK$19),0)</f>
        <v>0</v>
      </c>
      <c r="AN17" s="19">
        <f>IF(AI17&lt;&gt;"",AH17+AL17+AM17-1,AH17)</f>
        <v>4</v>
      </c>
      <c r="AO17" s="20">
        <f>AN17</f>
        <v>4</v>
      </c>
      <c r="AP17" t="s">
        <v>151</v>
      </c>
    </row>
    <row r="18" spans="1:42" x14ac:dyDescent="0.2">
      <c r="A18" s="14" t="s">
        <v>204</v>
      </c>
      <c r="B18">
        <f>IF(Tabelle!M32&gt;Tabelle!O32,1,0)</f>
        <v>0</v>
      </c>
      <c r="C18">
        <f>IF(Tabelle!O34&gt;Tabelle!M34,1,0)</f>
        <v>0</v>
      </c>
      <c r="D18">
        <f>IF(Tabelle!O36&gt;Tabelle!M36,1,0)</f>
        <v>1</v>
      </c>
      <c r="E18">
        <f>IF(AND(Tabelle!M32=Tabelle!O32,Tabelle!M32&lt;&gt;""),1,0)</f>
        <v>0</v>
      </c>
      <c r="F18">
        <f>IF(AND(Tabelle!M34=Tabelle!O34,Tabelle!M34&lt;&gt;""),1,0)</f>
        <v>0</v>
      </c>
      <c r="G18">
        <f>IF(AND(Tabelle!M36=Tabelle!O36,Tabelle!M36&lt;&gt;""),1,0)</f>
        <v>0</v>
      </c>
      <c r="H18" s="16"/>
      <c r="I18" t="s">
        <v>152</v>
      </c>
      <c r="J18" s="19">
        <f>_xlfn.RANK.EQ(Gruppen!K20,Gruppen!K$18:K$21,0)</f>
        <v>3</v>
      </c>
      <c r="K18" s="21" t="str">
        <f>IF(COUNTIF(J$16:J$19,J18)=1,"",IF(AND(COUNT(K$16)&gt;0,J$16&lt;&gt;J18),2,1))</f>
        <v/>
      </c>
      <c r="L18" t="str">
        <f>IF(K18=1,Ränge1!M18,"")</f>
        <v/>
      </c>
      <c r="M18" t="str">
        <f>IF(K18=2,Ränge1!M18,"")</f>
        <v/>
      </c>
      <c r="N18">
        <f>IF(K18=1,_xlfn.RANK.EQ(L18,L$16:L$19),0)</f>
        <v>0</v>
      </c>
      <c r="O18">
        <f>IF(K18=2,_xlfn.RANK.EQ(M18,M$16:M$19),0)</f>
        <v>0</v>
      </c>
      <c r="P18" s="19">
        <f>IF(K18&lt;&gt;"",J18+N18+O18-1,J18)</f>
        <v>3</v>
      </c>
      <c r="Q18" t="str">
        <f>IF(COUNTIF(P$16:P$19,P18)=1,"",IF(AND(COUNT(Q$16)&gt;0,P$16&lt;&gt;P18),2,1))</f>
        <v/>
      </c>
      <c r="R18" t="str">
        <f>IF(Q18=1,Ränge1!N18,"")</f>
        <v/>
      </c>
      <c r="S18" t="str">
        <f>IF(Q18=2,Ränge1!N18,"")</f>
        <v/>
      </c>
      <c r="T18">
        <f>IF($Q18=1,_xlfn.RANK.EQ(R18,R$16:R$19),0)</f>
        <v>0</v>
      </c>
      <c r="U18">
        <f>IF($Q18=2,_xlfn.RANK.EQ(S18,S$16:S$19),0)</f>
        <v>0</v>
      </c>
      <c r="V18" s="19">
        <f>IF(Q18&lt;&gt;"",P18+T18+U18-1,P18)</f>
        <v>3</v>
      </c>
      <c r="W18" t="str">
        <f>IF(COUNTIF(V$16:V$19,V18)=1,"",IF(AND(COUNT(W$16)&gt;0,V$16&lt;&gt;V18),2,1))</f>
        <v/>
      </c>
      <c r="X18" t="str">
        <f>IF(W18=1,Ränge1!O18,"")</f>
        <v/>
      </c>
      <c r="Y18" t="str">
        <f>IF(W18=2,Ränge1!O18,"")</f>
        <v/>
      </c>
      <c r="Z18">
        <f>IF($W18=1,_xlfn.RANK.EQ(X18,X$16:X$19),0)</f>
        <v>0</v>
      </c>
      <c r="AA18">
        <f>IF($W18=2,_xlfn.RANK.EQ(Y18,Y$16:Y$19),0)</f>
        <v>0</v>
      </c>
      <c r="AB18" s="19">
        <f>IF(W18&lt;&gt;"",V18+Z18+AA18-1,V18)</f>
        <v>3</v>
      </c>
      <c r="AC18" t="str">
        <f>IF(COUNTIF(AB$16:AB$19,AB18)=1,"",IF(AND(COUNT(AC$16)&gt;0,AB$16&lt;&gt;AB18),2,1))</f>
        <v/>
      </c>
      <c r="AD18" t="str">
        <f>IF(AC18=1,Ränge1!P18,"")</f>
        <v/>
      </c>
      <c r="AE18" t="str">
        <f>IF(AC18=2,Ränge1!P18,"")</f>
        <v/>
      </c>
      <c r="AF18">
        <f>IF($AC18=1,_xlfn.RANK.EQ(AD18,AD$16:AD$19),0)</f>
        <v>0</v>
      </c>
      <c r="AG18">
        <f>IF($AC18=2,_xlfn.RANK.EQ(AE18,AE$16:AE$19),0)</f>
        <v>0</v>
      </c>
      <c r="AH18" s="19">
        <f>IF(AC18&lt;&gt;"",AB18+AF18+AG18-1,AB18)</f>
        <v>3</v>
      </c>
      <c r="AI18" t="str">
        <f>IF(COUNTIF(AH$16:AH$19,AH18)=1,"",IF(AND(COUNT(AI$16)&gt;0,AH$16&lt;&gt;AH18),2,1))</f>
        <v/>
      </c>
      <c r="AJ18" t="str">
        <f>IF($AI18=1,Ränge1!Q18,"")</f>
        <v/>
      </c>
      <c r="AK18" t="str">
        <f>IF($AI18=2,Ränge1!Q18,"")</f>
        <v/>
      </c>
      <c r="AL18">
        <f>IF($AI18=1,_xlfn.RANK.EQ(AJ18,AJ$16:AJ$19),0)</f>
        <v>0</v>
      </c>
      <c r="AM18">
        <f>IF($AI18=2,_xlfn.RANK.EQ(AK18,AK$16:AK$19),0)</f>
        <v>0</v>
      </c>
      <c r="AN18" s="19">
        <f>IF(AI18&lt;&gt;"",AH18+AL18+AM18-1,AH18)</f>
        <v>3</v>
      </c>
      <c r="AO18" s="20">
        <f>AN18</f>
        <v>3</v>
      </c>
      <c r="AP18" t="s">
        <v>152</v>
      </c>
    </row>
    <row r="19" spans="1:42" x14ac:dyDescent="0.2">
      <c r="A19" s="14" t="s">
        <v>205</v>
      </c>
      <c r="B19">
        <f>IF(Tabelle!O32&gt;Tabelle!M32,1,0)</f>
        <v>1</v>
      </c>
      <c r="C19">
        <f>IF(Tabelle!O33&lt;Tabelle!M33,1,0)</f>
        <v>1</v>
      </c>
      <c r="D19">
        <f>IF(Tabelle!M35&gt;Tabelle!O35,1,0)</f>
        <v>0</v>
      </c>
      <c r="E19">
        <f>IF(AND(Tabelle!M32=Tabelle!O32,Tabelle!M32&lt;&gt;""),1,0)</f>
        <v>0</v>
      </c>
      <c r="F19">
        <f>IF(AND(Tabelle!M33=Tabelle!O33,Tabelle!M33&lt;&gt;""),1,0)</f>
        <v>0</v>
      </c>
      <c r="G19">
        <f>IF(AND(Tabelle!M35=Tabelle!O35,Tabelle!M35&lt;&gt;""),1,0)</f>
        <v>1</v>
      </c>
      <c r="H19" s="16"/>
      <c r="I19" t="s">
        <v>153</v>
      </c>
      <c r="J19" s="19">
        <f>_xlfn.RANK.EQ(Gruppen!K21,Gruppen!K$18:K$21,0)</f>
        <v>1</v>
      </c>
      <c r="K19" s="21">
        <f>IF(COUNTIF(J$16:J$19,J19)=1,"",IF(AND(COUNT(K$16)&gt;0,J$16&lt;&gt;J19),2,1))</f>
        <v>1</v>
      </c>
      <c r="L19">
        <f>IF(K19=1,Ränge1!M19,"")</f>
        <v>4</v>
      </c>
      <c r="M19" t="str">
        <f>IF(K19=2,Ränge1!M19,"")</f>
        <v/>
      </c>
      <c r="N19">
        <f>IF(K19=1,_xlfn.RANK.EQ(L19,L$16:L$19),0)</f>
        <v>1</v>
      </c>
      <c r="O19">
        <f>IF(K19=2,_xlfn.RANK.EQ(M19,M$16:M$19),0)</f>
        <v>0</v>
      </c>
      <c r="P19" s="19">
        <f>IF(K19&lt;&gt;"",J19+N19+O19-1,J19)</f>
        <v>1</v>
      </c>
      <c r="Q19">
        <f>IF(COUNTIF(P$16:P$19,P19)=1,"",IF(AND(COUNT(Q$16)&gt;0,P$16&lt;&gt;P19),2,1))</f>
        <v>1</v>
      </c>
      <c r="R19">
        <f>IF(Q19=1,Ränge1!N19,"")</f>
        <v>5</v>
      </c>
      <c r="S19" t="str">
        <f>IF(Q19=2,Ränge1!N19,"")</f>
        <v/>
      </c>
      <c r="T19">
        <f>IF($Q19=1,_xlfn.RANK.EQ(R19,R$16:R$19),0)</f>
        <v>2</v>
      </c>
      <c r="U19">
        <f>IF($Q19=2,_xlfn.RANK.EQ(S19,S$16:S$19),0)</f>
        <v>0</v>
      </c>
      <c r="V19" s="19">
        <f>IF(Q19&lt;&gt;"",P19+T19+U19-1,P19)</f>
        <v>2</v>
      </c>
      <c r="W19" t="str">
        <f>IF(COUNTIF(V$16:V$19,V19)=1,"",IF(AND(COUNT(W$16)&gt;0,V$16&lt;&gt;V19),2,1))</f>
        <v/>
      </c>
      <c r="X19" t="str">
        <f>IF(W19=1,Ränge1!O19,"")</f>
        <v/>
      </c>
      <c r="Y19" t="str">
        <f>IF(W19=2,Ränge1!O19,"")</f>
        <v/>
      </c>
      <c r="Z19">
        <f>IF($W19=1,_xlfn.RANK.EQ(X19,X$16:X$19),0)</f>
        <v>0</v>
      </c>
      <c r="AA19">
        <f>IF($W19=2,_xlfn.RANK.EQ(Y19,Y$16:Y$19),0)</f>
        <v>0</v>
      </c>
      <c r="AB19" s="19">
        <f>IF(W19&lt;&gt;"",V19+Z19+AA19-1,V19)</f>
        <v>2</v>
      </c>
      <c r="AC19" t="str">
        <f>IF(COUNTIF(AB$16:AB$19,AB19)=1,"",IF(AND(COUNT(AC$16)&gt;0,AB$16&lt;&gt;AB19),2,1))</f>
        <v/>
      </c>
      <c r="AD19" t="str">
        <f>IF(AC19=1,Ränge1!P19,"")</f>
        <v/>
      </c>
      <c r="AE19" t="str">
        <f>IF(AC19=2,Ränge1!P19,"")</f>
        <v/>
      </c>
      <c r="AF19">
        <f>IF($AC19=1,_xlfn.RANK.EQ(AD19,AD$16:AD$19),0)</f>
        <v>0</v>
      </c>
      <c r="AG19">
        <f>IF($AC19=2,_xlfn.RANK.EQ(AE19,AE$16:AE$19),0)</f>
        <v>0</v>
      </c>
      <c r="AH19" s="19">
        <f>IF(AC19&lt;&gt;"",AB19+AF19+AG19-1,AB19)</f>
        <v>2</v>
      </c>
      <c r="AI19" t="str">
        <f>IF(COUNTIF(AH$16:AH$19,AH19)=1,"",IF(AND(COUNT(AI$16)&gt;0,AH$16&lt;&gt;AH19),2,1))</f>
        <v/>
      </c>
      <c r="AJ19" t="str">
        <f>IF($AI19=1,Ränge1!Q19,"")</f>
        <v/>
      </c>
      <c r="AK19" t="str">
        <f>IF($AI19=2,Ränge1!Q19,"")</f>
        <v/>
      </c>
      <c r="AL19">
        <f>IF($AI19=1,_xlfn.RANK.EQ(AJ19,AJ$16:AJ$19),0)</f>
        <v>0</v>
      </c>
      <c r="AM19">
        <f>IF($AI19=2,_xlfn.RANK.EQ(AK19,AK$16:AK$19),0)</f>
        <v>0</v>
      </c>
      <c r="AN19" s="19">
        <f>IF(AI19&lt;&gt;"",AH19+AL19+AM19-1,AH19)</f>
        <v>2</v>
      </c>
      <c r="AO19" s="20">
        <f>AN19</f>
        <v>2</v>
      </c>
      <c r="AP19" t="s">
        <v>153</v>
      </c>
    </row>
    <row r="20" spans="1:42" x14ac:dyDescent="0.2">
      <c r="A20" s="14"/>
      <c r="G20" s="15"/>
      <c r="H20" s="16"/>
      <c r="K20" s="21"/>
    </row>
    <row r="21" spans="1:42" x14ac:dyDescent="0.2">
      <c r="A21" s="14"/>
      <c r="G21" s="15"/>
      <c r="H21" s="16"/>
    </row>
    <row r="22" spans="1:42" x14ac:dyDescent="0.2">
      <c r="A22" s="14" t="s">
        <v>206</v>
      </c>
      <c r="B22">
        <f>IF(Tabelle!AD31&gt;Tabelle!AF31,1,0)</f>
        <v>1</v>
      </c>
      <c r="C22">
        <f>IF(Tabelle!AD33&gt;Tabelle!AF33,1,0)</f>
        <v>1</v>
      </c>
      <c r="D22">
        <f>IF(Tabelle!AF35&gt;Tabelle!AD35,1,0)</f>
        <v>1</v>
      </c>
      <c r="E22">
        <f>IF(AND(Tabelle!AD31=Tabelle!AF31,Tabelle!AD31&lt;&gt;""),1,0)</f>
        <v>0</v>
      </c>
      <c r="F22">
        <f>IF(AND(Tabelle!AD33=Tabelle!AF33,Tabelle!AD33&lt;&gt;""),1,0)</f>
        <v>0</v>
      </c>
      <c r="G22">
        <f>IF(AND(Tabelle!AD35=Tabelle!AF35,Tabelle!AD35&lt;&gt;""),1,0)</f>
        <v>0</v>
      </c>
      <c r="H22" s="16"/>
      <c r="I22" t="s">
        <v>154</v>
      </c>
      <c r="J22" s="19">
        <f>_xlfn.RANK.EQ(Gruppen!K24,Gruppen!K$24:K$27,0)</f>
        <v>1</v>
      </c>
      <c r="K22" s="21" t="str">
        <f>IF(COUNTIF(J$22:J$25,J22)=1,"",1)</f>
        <v/>
      </c>
      <c r="L22" t="str">
        <f>IF(K22=1,Ränge1!M22,"")</f>
        <v/>
      </c>
      <c r="M22" t="str">
        <f>IF(K22=2,Ränge1!M22,"")</f>
        <v/>
      </c>
      <c r="N22">
        <f>IF(K22=1,_xlfn.RANK.EQ(L22,L$22:L$25),0)</f>
        <v>0</v>
      </c>
      <c r="O22">
        <f>IF(K22=2,_xlfn.RANK.EQ(M22,M$22:M$25),0)</f>
        <v>0</v>
      </c>
      <c r="P22" s="19">
        <f>IF(K22&lt;&gt;"",J22+N22+O22-1,J22)</f>
        <v>1</v>
      </c>
      <c r="Q22" t="str">
        <f>IF(COUNTIF(P$22:P$25,P22)=1,"",1)</f>
        <v/>
      </c>
      <c r="R22" t="str">
        <f>IF(Q22=1,Ränge1!N22,"")</f>
        <v/>
      </c>
      <c r="S22" t="str">
        <f>IF(Q22=2,Ränge1!N22,"")</f>
        <v/>
      </c>
      <c r="T22">
        <f>IF($Q22=1,_xlfn.RANK.EQ(R22,R$22:R$25),0)</f>
        <v>0</v>
      </c>
      <c r="U22">
        <f>IF($Q22=2,_xlfn.RANK.EQ(S22,S$22:S$25),0)</f>
        <v>0</v>
      </c>
      <c r="V22" s="19">
        <f>IF(Q22&lt;&gt;"",P22+T22+U22-1,P22)</f>
        <v>1</v>
      </c>
      <c r="W22" t="str">
        <f>IF(COUNTIF(V$22:V$25,V22)=1,"",1)</f>
        <v/>
      </c>
      <c r="X22" t="str">
        <f>IF(W22=1,Ränge1!O22,"")</f>
        <v/>
      </c>
      <c r="Y22" t="str">
        <f>IF(W22=2,Ränge1!O22,"")</f>
        <v/>
      </c>
      <c r="Z22">
        <f>IF($W22=1,_xlfn.RANK.EQ(X22,X$22:X$25),0)</f>
        <v>0</v>
      </c>
      <c r="AA22">
        <f>IF($W22=2,_xlfn.RANK.EQ(Y22,Y$22:Y$25),0)</f>
        <v>0</v>
      </c>
      <c r="AB22" s="19">
        <f>IF(W22&lt;&gt;"",V22+Z22+AA22-1,V22)</f>
        <v>1</v>
      </c>
      <c r="AC22" t="str">
        <f>IF(COUNTIF(AB$22:AB$25,AB22)=1,"",1)</f>
        <v/>
      </c>
      <c r="AD22" t="str">
        <f>IF(AC22=1,Ränge1!P22,"")</f>
        <v/>
      </c>
      <c r="AE22" t="str">
        <f>IF(AC22=2,Ränge1!P22,"")</f>
        <v/>
      </c>
      <c r="AF22">
        <f>IF($AC22=1,_xlfn.RANK.EQ(AD22,AD$22:AD$25),0)</f>
        <v>0</v>
      </c>
      <c r="AG22">
        <f>IF($AC22=2,_xlfn.RANK.EQ(AE22,AE$22:AE$25),0)</f>
        <v>0</v>
      </c>
      <c r="AH22" s="19">
        <f>IF(AC22&lt;&gt;"",AB22+AF22+AG22-1,AB22)</f>
        <v>1</v>
      </c>
      <c r="AI22" t="str">
        <f>IF(COUNTIF(AH$22:AH$25,AH22)=1,"",1)</f>
        <v/>
      </c>
      <c r="AJ22" t="str">
        <f>IF($AI22=1,Ränge1!Q22,"")</f>
        <v/>
      </c>
      <c r="AK22" t="str">
        <f>IF($AI22=2,Ränge1!Q22,"")</f>
        <v/>
      </c>
      <c r="AL22">
        <f>IF($AI22=1,_xlfn.RANK.EQ(AJ22,AJ$22:AJ$25),0)</f>
        <v>0</v>
      </c>
      <c r="AM22">
        <f>IF($AI22=2,_xlfn.RANK.EQ(AK22,AK$22:AK$25),0)</f>
        <v>0</v>
      </c>
      <c r="AN22" s="19">
        <f>IF(AI22&lt;&gt;"",AH22+AL22+AM22-1,AH22)</f>
        <v>1</v>
      </c>
      <c r="AO22" s="20">
        <f>AN22</f>
        <v>1</v>
      </c>
      <c r="AP22" t="s">
        <v>154</v>
      </c>
    </row>
    <row r="23" spans="1:42" x14ac:dyDescent="0.2">
      <c r="A23" s="14" t="s">
        <v>115</v>
      </c>
      <c r="B23">
        <f>IF(Tabelle!AF31&gt;Tabelle!AD31,1,0)</f>
        <v>0</v>
      </c>
      <c r="C23">
        <f>IF(Tabelle!AD34&lt;Tabelle!AF34,1,0)</f>
        <v>0</v>
      </c>
      <c r="D23">
        <f>IF(Tabelle!AD36&gt;Tabelle!AF36,1,0)</f>
        <v>0</v>
      </c>
      <c r="E23">
        <f>IF(AND(Tabelle!AD31=Tabelle!AF31,Tabelle!AD31&lt;&gt;""),1,0)</f>
        <v>0</v>
      </c>
      <c r="F23">
        <f>IF(AND(Tabelle!AD34=Tabelle!AF34,Tabelle!AD34&lt;&gt;""),1,0)</f>
        <v>1</v>
      </c>
      <c r="G23">
        <f>IF(AND(Tabelle!AD36=Tabelle!AF36,Tabelle!AD36&lt;&gt;""),1,0)</f>
        <v>0</v>
      </c>
      <c r="H23" s="16"/>
      <c r="I23" t="s">
        <v>36</v>
      </c>
      <c r="J23" s="19">
        <f>_xlfn.RANK.EQ(Gruppen!K25,Gruppen!K$24:K$27,0)</f>
        <v>4</v>
      </c>
      <c r="K23" s="21" t="str">
        <f>IF(COUNTIF(J$22:J$25,J23)=1,"",IF(AND(COUNT(K$22)&gt;0,J$22&lt;&gt;J23),2,1))</f>
        <v/>
      </c>
      <c r="L23" t="str">
        <f>IF(K23=1,Ränge1!M23,"")</f>
        <v/>
      </c>
      <c r="M23" t="str">
        <f>IF(K23=2,Ränge1!M23,"")</f>
        <v/>
      </c>
      <c r="N23">
        <f>IF(K23=1,_xlfn.RANK.EQ(L23,L$22:L$25),0)</f>
        <v>0</v>
      </c>
      <c r="O23">
        <f>IF(K23=2,_xlfn.RANK.EQ(M23,M$22:M$25),0)</f>
        <v>0</v>
      </c>
      <c r="P23" s="19">
        <f>IF(K23&lt;&gt;"",J23+N23+O23-1,J23)</f>
        <v>4</v>
      </c>
      <c r="Q23" t="str">
        <f>IF(COUNTIF(P$22:P$25,P23)=1,"",IF(AND(COUNT(Q$22)&gt;0,P$22&lt;&gt;P23),2,1))</f>
        <v/>
      </c>
      <c r="R23" t="str">
        <f>IF(Q23=1,Ränge1!N23,"")</f>
        <v/>
      </c>
      <c r="S23" t="str">
        <f>IF(Q23=2,Ränge1!N23,"")</f>
        <v/>
      </c>
      <c r="T23">
        <f>IF($Q23=1,_xlfn.RANK.EQ(R23,R$22:R$25),0)</f>
        <v>0</v>
      </c>
      <c r="U23">
        <f>IF($Q23=2,_xlfn.RANK.EQ(S23,S$22:S$25),0)</f>
        <v>0</v>
      </c>
      <c r="V23" s="19">
        <f>IF(Q23&lt;&gt;"",P23+T23+U23-1,P23)</f>
        <v>4</v>
      </c>
      <c r="W23" t="str">
        <f>IF(COUNTIF(V$22:V$25,V23)=1,"",IF(AND(COUNT(W$22)&gt;0,V$22&lt;&gt;V23),2,1))</f>
        <v/>
      </c>
      <c r="X23" t="str">
        <f>IF(W23=1,Ränge1!O23,"")</f>
        <v/>
      </c>
      <c r="Y23" t="str">
        <f>IF(W23=2,Ränge1!O23,"")</f>
        <v/>
      </c>
      <c r="Z23">
        <f>IF($W23=1,_xlfn.RANK.EQ(X23,X$22:X$25),0)</f>
        <v>0</v>
      </c>
      <c r="AA23">
        <f>IF($W23=2,_xlfn.RANK.EQ(Y23,Y$22:Y$25),0)</f>
        <v>0</v>
      </c>
      <c r="AB23" s="19">
        <f>IF(W23&lt;&gt;"",V23+Z23+AA23-1,V23)</f>
        <v>4</v>
      </c>
      <c r="AC23" t="str">
        <f>IF(COUNTIF(AB$22:AB$25,AB23)=1,"",IF(AND(COUNT(AC$22)&gt;0,AB$22&lt;&gt;AB23),2,1))</f>
        <v/>
      </c>
      <c r="AD23" t="str">
        <f>IF(AC23=1,Ränge1!P23,"")</f>
        <v/>
      </c>
      <c r="AE23" t="str">
        <f>IF(AC23=2,Ränge1!P23,"")</f>
        <v/>
      </c>
      <c r="AF23">
        <f>IF($AC23=1,_xlfn.RANK.EQ(AD23,AD$22:AD$25),0)</f>
        <v>0</v>
      </c>
      <c r="AG23">
        <f>IF($AC23=2,_xlfn.RANK.EQ(AE23,AE$22:AE$25),0)</f>
        <v>0</v>
      </c>
      <c r="AH23" s="19">
        <f>IF(AC23&lt;&gt;"",AB23+AF23+AG23-1,AB23)</f>
        <v>4</v>
      </c>
      <c r="AI23" t="str">
        <f>IF(COUNTIF(AH$22:AH$25,AH23)=1,"",IF(AND(COUNT(AI$22)&gt;0,AH$22&lt;&gt;AH23),2,1))</f>
        <v/>
      </c>
      <c r="AJ23" t="str">
        <f>IF($AI23=1,Ränge1!Q23,"")</f>
        <v/>
      </c>
      <c r="AK23" t="str">
        <f>IF($AI23=2,Ränge1!Q23,"")</f>
        <v/>
      </c>
      <c r="AL23">
        <f>IF($AI23=1,_xlfn.RANK.EQ(AJ23,AJ$22:AJ$25),0)</f>
        <v>0</v>
      </c>
      <c r="AM23">
        <f>IF($AI23=2,_xlfn.RANK.EQ(AK23,AK$22:AK$25),0)</f>
        <v>0</v>
      </c>
      <c r="AN23" s="19">
        <f>IF(AI23&lt;&gt;"",AH23+AL23+AM23-1,AH23)</f>
        <v>4</v>
      </c>
      <c r="AO23" s="20">
        <f>AN23</f>
        <v>4</v>
      </c>
      <c r="AP23" t="s">
        <v>36</v>
      </c>
    </row>
    <row r="24" spans="1:42" x14ac:dyDescent="0.2">
      <c r="A24" s="14" t="s">
        <v>207</v>
      </c>
      <c r="B24">
        <f>IF(Tabelle!AD32&gt;Tabelle!AF32,1,0)</f>
        <v>0</v>
      </c>
      <c r="C24">
        <f>IF(Tabelle!AF33&gt;Tabelle!AD33,1,0)</f>
        <v>0</v>
      </c>
      <c r="D24">
        <f>IF(Tabelle!AF36&gt;Tabelle!AD36,1,0)</f>
        <v>1</v>
      </c>
      <c r="E24">
        <f>IF(AND(Tabelle!AD32=Tabelle!AF32,Tabelle!AD32&lt;&gt;""),1,0)</f>
        <v>1</v>
      </c>
      <c r="F24">
        <f>IF(AND(Tabelle!AD33=Tabelle!AF33,Tabelle!AD33&lt;&gt;""),1,0)</f>
        <v>0</v>
      </c>
      <c r="G24">
        <f>IF(AND(Tabelle!AD36=Tabelle!AF36,Tabelle!AD36&lt;&gt;""),1,0)</f>
        <v>0</v>
      </c>
      <c r="H24" s="16"/>
      <c r="I24" t="s">
        <v>30</v>
      </c>
      <c r="J24" s="19">
        <f>_xlfn.RANK.EQ(Gruppen!K26,Gruppen!K$24:K$27,0)</f>
        <v>2</v>
      </c>
      <c r="K24" s="21" t="str">
        <f>IF(COUNTIF(J$22:J$25,J24)=1,"",IF(AND(COUNT(K$22)&gt;0,J$22&lt;&gt;J24),2,1))</f>
        <v/>
      </c>
      <c r="L24" t="str">
        <f>IF(K24=1,Ränge1!M24,"")</f>
        <v/>
      </c>
      <c r="M24" t="str">
        <f>IF(K24=2,Ränge1!M24,"")</f>
        <v/>
      </c>
      <c r="N24">
        <f>IF(K24=1,_xlfn.RANK.EQ(L24,L$22:L$25),0)</f>
        <v>0</v>
      </c>
      <c r="O24">
        <f>IF(K24=2,_xlfn.RANK.EQ(M24,M$22:M$25),0)</f>
        <v>0</v>
      </c>
      <c r="P24" s="19">
        <f>IF(K24&lt;&gt;"",J24+N24+O24-1,J24)</f>
        <v>2</v>
      </c>
      <c r="Q24" t="str">
        <f>IF(COUNTIF(P$22:P$25,P24)=1,"",IF(AND(COUNT(Q$22)&gt;0,P$22&lt;&gt;P24),2,1))</f>
        <v/>
      </c>
      <c r="R24" t="str">
        <f>IF(Q24=1,Ränge1!N24,"")</f>
        <v/>
      </c>
      <c r="S24" t="str">
        <f>IF(Q24=2,Ränge1!N24,"")</f>
        <v/>
      </c>
      <c r="T24">
        <f>IF($Q24=1,_xlfn.RANK.EQ(R24,R$22:R$25),0)</f>
        <v>0</v>
      </c>
      <c r="U24">
        <f>IF($Q24=2,_xlfn.RANK.EQ(S24,S$22:S$25),0)</f>
        <v>0</v>
      </c>
      <c r="V24" s="19">
        <f>IF(Q24&lt;&gt;"",P24+T24+U24-1,P24)</f>
        <v>2</v>
      </c>
      <c r="W24" t="str">
        <f>IF(COUNTIF(V$22:V$25,V24)=1,"",IF(AND(COUNT(W$22)&gt;0,V$22&lt;&gt;V24),2,1))</f>
        <v/>
      </c>
      <c r="X24" t="str">
        <f>IF(W24=1,Ränge1!O24,"")</f>
        <v/>
      </c>
      <c r="Y24" t="str">
        <f>IF(W24=2,Ränge1!O24,"")</f>
        <v/>
      </c>
      <c r="Z24">
        <f>IF($W24=1,_xlfn.RANK.EQ(X24,X$22:X$25),0)</f>
        <v>0</v>
      </c>
      <c r="AA24">
        <f>IF($W24=2,_xlfn.RANK.EQ(Y24,Y$22:Y$25),0)</f>
        <v>0</v>
      </c>
      <c r="AB24" s="19">
        <f>IF(W24&lt;&gt;"",V24+Z24+AA24-1,V24)</f>
        <v>2</v>
      </c>
      <c r="AC24" t="str">
        <f>IF(COUNTIF(AB$22:AB$25,AB24)=1,"",IF(AND(COUNT(AC$22)&gt;0,AB$22&lt;&gt;AB24),2,1))</f>
        <v/>
      </c>
      <c r="AD24" t="str">
        <f>IF(AC24=1,Ränge1!P24,"")</f>
        <v/>
      </c>
      <c r="AE24" t="str">
        <f>IF(AC24=2,Ränge1!P24,"")</f>
        <v/>
      </c>
      <c r="AF24">
        <f>IF($AC24=1,_xlfn.RANK.EQ(AD24,AD$22:AD$25),0)</f>
        <v>0</v>
      </c>
      <c r="AG24">
        <f>IF($AC24=2,_xlfn.RANK.EQ(AE24,AE$22:AE$25),0)</f>
        <v>0</v>
      </c>
      <c r="AH24" s="19">
        <f>IF(AC24&lt;&gt;"",AB24+AF24+AG24-1,AB24)</f>
        <v>2</v>
      </c>
      <c r="AI24" t="str">
        <f>IF(COUNTIF(AH$22:AH$25,AH24)=1,"",IF(AND(COUNT(AI$22)&gt;0,AH$22&lt;&gt;AH24),2,1))</f>
        <v/>
      </c>
      <c r="AJ24" t="str">
        <f>IF($AI24=1,Ränge1!Q24,"")</f>
        <v/>
      </c>
      <c r="AK24" t="str">
        <f>IF($AI24=2,Ränge1!Q24,"")</f>
        <v/>
      </c>
      <c r="AL24">
        <f>IF($AI24=1,_xlfn.RANK.EQ(AJ24,AJ$22:AJ$25),0)</f>
        <v>0</v>
      </c>
      <c r="AM24">
        <f>IF($AI24=2,_xlfn.RANK.EQ(AK24,AK$22:AK$25),0)</f>
        <v>0</v>
      </c>
      <c r="AN24" s="19">
        <f>IF(AI24&lt;&gt;"",AH24+AL24+AM24-1,AH24)</f>
        <v>2</v>
      </c>
      <c r="AO24" s="20">
        <f>AN24</f>
        <v>2</v>
      </c>
      <c r="AP24" t="s">
        <v>30</v>
      </c>
    </row>
    <row r="25" spans="1:42" x14ac:dyDescent="0.2">
      <c r="A25" s="14" t="s">
        <v>208</v>
      </c>
      <c r="B25">
        <f>IF(Tabelle!AF32&gt;Tabelle!AD32,1,0)</f>
        <v>0</v>
      </c>
      <c r="C25">
        <f>IF(Tabelle!AF34&lt;Tabelle!AD34,1,0)</f>
        <v>0</v>
      </c>
      <c r="D25">
        <f>IF(Tabelle!AD35&gt;Tabelle!AF35,1,0)</f>
        <v>0</v>
      </c>
      <c r="E25">
        <f>IF(AND(Tabelle!AD32=Tabelle!AF32,Tabelle!AD32&lt;&gt;""),1,0)</f>
        <v>1</v>
      </c>
      <c r="F25">
        <f>IF(AND(Tabelle!AD34=Tabelle!AF34,Tabelle!AD34&lt;&gt;""),1,0)</f>
        <v>1</v>
      </c>
      <c r="G25">
        <f>IF(AND(Tabelle!AD35=Tabelle!AF35,Tabelle!AD35&lt;&gt;""),1,0)</f>
        <v>0</v>
      </c>
      <c r="H25" s="16"/>
      <c r="I25" t="s">
        <v>155</v>
      </c>
      <c r="J25" s="19">
        <f>_xlfn.RANK.EQ(Gruppen!K27,Gruppen!K$24:K$27,0)</f>
        <v>3</v>
      </c>
      <c r="K25" s="21" t="str">
        <f>IF(COUNTIF(J$22:J$25,J25)=1,"",IF(AND(COUNT(K$22)&gt;0,J$22&lt;&gt;J25),2,1))</f>
        <v/>
      </c>
      <c r="L25" t="str">
        <f>IF(K25=1,Ränge1!M25,"")</f>
        <v/>
      </c>
      <c r="M25" t="str">
        <f>IF(K25=2,Ränge1!M25,"")</f>
        <v/>
      </c>
      <c r="N25">
        <f>IF(K25=1,_xlfn.RANK.EQ(L25,L$22:L$25),0)</f>
        <v>0</v>
      </c>
      <c r="O25">
        <f>IF(K25=2,_xlfn.RANK.EQ(M25,M$22:M$25),0)</f>
        <v>0</v>
      </c>
      <c r="P25" s="19">
        <f>IF(K25&lt;&gt;"",J25+N25+O25-1,J25)</f>
        <v>3</v>
      </c>
      <c r="Q25" t="str">
        <f>IF(COUNTIF(P$22:P$25,P25)=1,"",IF(AND(COUNT(Q$22)&gt;0,P$22&lt;&gt;P25),2,1))</f>
        <v/>
      </c>
      <c r="R25" t="str">
        <f>IF(Q25=1,Ränge1!N25,"")</f>
        <v/>
      </c>
      <c r="S25" t="str">
        <f>IF(Q25=2,Ränge1!N25,"")</f>
        <v/>
      </c>
      <c r="T25">
        <f>IF($Q25=1,_xlfn.RANK.EQ(R25,R$22:R$25),0)</f>
        <v>0</v>
      </c>
      <c r="U25">
        <f>IF($Q25=2,_xlfn.RANK.EQ(S25,S$22:S$25),0)</f>
        <v>0</v>
      </c>
      <c r="V25" s="19">
        <f>IF(Q25&lt;&gt;"",P25+T25+U25-1,P25)</f>
        <v>3</v>
      </c>
      <c r="W25" t="str">
        <f>IF(COUNTIF(V$22:V$25,V25)=1,"",IF(AND(COUNT(W$22)&gt;0,V$22&lt;&gt;V25),2,1))</f>
        <v/>
      </c>
      <c r="X25" t="str">
        <f>IF(W25=1,Ränge1!O25,"")</f>
        <v/>
      </c>
      <c r="Y25" t="str">
        <f>IF(W25=2,Ränge1!O25,"")</f>
        <v/>
      </c>
      <c r="Z25">
        <f>IF($W25=1,_xlfn.RANK.EQ(X25,X$22:X$25),0)</f>
        <v>0</v>
      </c>
      <c r="AA25">
        <f>IF($W25=2,_xlfn.RANK.EQ(Y25,Y$22:Y$25),0)</f>
        <v>0</v>
      </c>
      <c r="AB25" s="19">
        <f>IF(W25&lt;&gt;"",V25+Z25+AA25-1,V25)</f>
        <v>3</v>
      </c>
      <c r="AC25" t="str">
        <f>IF(COUNTIF(AB$22:AB$25,AB25)=1,"",IF(AND(COUNT(AC$22)&gt;0,AB$22&lt;&gt;AB25),2,1))</f>
        <v/>
      </c>
      <c r="AD25" t="str">
        <f>IF(AC25=1,Ränge1!P25,"")</f>
        <v/>
      </c>
      <c r="AE25" t="str">
        <f>IF(AC25=2,Ränge1!P25,"")</f>
        <v/>
      </c>
      <c r="AF25">
        <f>IF($AC25=1,_xlfn.RANK.EQ(AD25,AD$22:AD$25),0)</f>
        <v>0</v>
      </c>
      <c r="AG25">
        <f>IF($AC25=2,_xlfn.RANK.EQ(AE25,AE$22:AE$25),0)</f>
        <v>0</v>
      </c>
      <c r="AH25" s="19">
        <f>IF(AC25&lt;&gt;"",AB25+AF25+AG25-1,AB25)</f>
        <v>3</v>
      </c>
      <c r="AI25" t="str">
        <f>IF(COUNTIF(AH$22:AH$25,AH25)=1,"",IF(AND(COUNT(AI$22)&gt;0,AH$22&lt;&gt;AH25),2,1))</f>
        <v/>
      </c>
      <c r="AJ25" t="str">
        <f>IF($AI25=1,Ränge1!Q25,"")</f>
        <v/>
      </c>
      <c r="AK25" t="str">
        <f>IF($AI25=2,Ränge1!Q25,"")</f>
        <v/>
      </c>
      <c r="AL25">
        <f>IF($AI25=1,_xlfn.RANK.EQ(AJ25,AJ$22:AJ$25),0)</f>
        <v>0</v>
      </c>
      <c r="AM25">
        <f>IF($AI25=2,_xlfn.RANK.EQ(AK25,AK$22:AK$25),0)</f>
        <v>0</v>
      </c>
      <c r="AN25" s="19">
        <f>IF(AI25&lt;&gt;"",AH25+AL25+AM25-1,AH25)</f>
        <v>3</v>
      </c>
      <c r="AO25" s="20">
        <f>AN25</f>
        <v>3</v>
      </c>
      <c r="AP25" t="s">
        <v>155</v>
      </c>
    </row>
    <row r="26" spans="1:42" x14ac:dyDescent="0.2">
      <c r="A26" s="14"/>
      <c r="G26" s="15"/>
      <c r="H26" s="16"/>
    </row>
    <row r="27" spans="1:42" x14ac:dyDescent="0.2">
      <c r="A27" s="14"/>
      <c r="G27" s="15"/>
      <c r="H27" s="16"/>
    </row>
    <row r="28" spans="1:42" x14ac:dyDescent="0.2">
      <c r="A28" s="14" t="s">
        <v>209</v>
      </c>
      <c r="B28">
        <f>IF(Tabelle!M49&gt;Tabelle!O49,1,0)</f>
        <v>1</v>
      </c>
      <c r="C28">
        <f>IF(Tabelle!M50&gt;Tabelle!O50,1,0)</f>
        <v>1</v>
      </c>
      <c r="D28">
        <f>IF(Tabelle!O52&gt;Tabelle!M52,1,0)</f>
        <v>1</v>
      </c>
      <c r="E28">
        <f>IF(AND(Tabelle!M49=Tabelle!O49,Tabelle!M49&lt;&gt;""),1,0)</f>
        <v>0</v>
      </c>
      <c r="F28">
        <f>IF(AND(Tabelle!M50=Tabelle!O50,Tabelle!M50&lt;&gt;""),1,0)</f>
        <v>0</v>
      </c>
      <c r="G28">
        <f>IF(AND(Tabelle!M52=Tabelle!O52,Tabelle!M52&lt;&gt;""),1,0)</f>
        <v>0</v>
      </c>
      <c r="H28" s="16"/>
      <c r="I28" t="s">
        <v>156</v>
      </c>
      <c r="J28" s="19">
        <f>_xlfn.RANK.EQ(Gruppen!K30,Gruppen!K$30:K$33,0)</f>
        <v>1</v>
      </c>
      <c r="K28" s="21" t="str">
        <f>IF(COUNTIF(J$28:J$31,J28)=1,"",1)</f>
        <v/>
      </c>
      <c r="L28" t="str">
        <f>IF(K28=1,Ränge1!M28,"")</f>
        <v/>
      </c>
      <c r="M28" t="str">
        <f>IF(K28=2,Ränge1!M28,"")</f>
        <v/>
      </c>
      <c r="N28">
        <f>IF(K28=1,_xlfn.RANK.EQ(L28,L$28:L$31),0)</f>
        <v>0</v>
      </c>
      <c r="O28">
        <f>IF(K28=2,_xlfn.RANK.EQ(M28,M$28:M$31),0)</f>
        <v>0</v>
      </c>
      <c r="P28" s="19">
        <f>IF(K28&lt;&gt;"",J28+N28+O28-1,J28)</f>
        <v>1</v>
      </c>
      <c r="Q28" t="str">
        <f>IF(COUNTIF(P$28:P$31,P28)=1,"",1)</f>
        <v/>
      </c>
      <c r="R28" t="str">
        <f>IF(Q28=1,Ränge1!N28,"")</f>
        <v/>
      </c>
      <c r="S28" t="str">
        <f>IF(Q28=2,Ränge1!N28,"")</f>
        <v/>
      </c>
      <c r="T28">
        <f>IF($Q28=1,_xlfn.RANK.EQ(R28,R$28:R$31),0)</f>
        <v>0</v>
      </c>
      <c r="U28">
        <f>IF($Q28=2,_xlfn.RANK.EQ(S28,S$28:S$31),0)</f>
        <v>0</v>
      </c>
      <c r="V28" s="19">
        <f>IF(Q28&lt;&gt;"",P28+T28+U28-1,P28)</f>
        <v>1</v>
      </c>
      <c r="W28" t="str">
        <f>IF(COUNTIF(V$28:V$31,V28)=1,"",1)</f>
        <v/>
      </c>
      <c r="X28" t="str">
        <f>IF(W28=1,Ränge1!O28,"")</f>
        <v/>
      </c>
      <c r="Y28" t="str">
        <f>IF(W28=2,Ränge1!O28,"")</f>
        <v/>
      </c>
      <c r="Z28">
        <f>IF($W28=1,_xlfn.RANK.EQ(X28,X$28:X$31),0)</f>
        <v>0</v>
      </c>
      <c r="AA28">
        <f>IF($W28=2,_xlfn.RANK.EQ(Y28,Y$28:Y$31),0)</f>
        <v>0</v>
      </c>
      <c r="AB28" s="19">
        <f>IF(W28&lt;&gt;"",V28+Z28+AA28-1,V28)</f>
        <v>1</v>
      </c>
      <c r="AC28" t="str">
        <f>IF(COUNTIF(AB$28:AB$31,AB28)=1,"",1)</f>
        <v/>
      </c>
      <c r="AD28" t="str">
        <f>IF(AC28=1,Ränge1!P28,"")</f>
        <v/>
      </c>
      <c r="AE28" t="str">
        <f>IF(AC28=2,Ränge1!P28,"")</f>
        <v/>
      </c>
      <c r="AF28">
        <f>IF($AC28=1,_xlfn.RANK.EQ(AD28,AD$28:AD$31),0)</f>
        <v>0</v>
      </c>
      <c r="AG28">
        <f>IF($AC28=2,_xlfn.RANK.EQ(AE28,AE$28:AE$31),0)</f>
        <v>0</v>
      </c>
      <c r="AH28" s="19">
        <f>IF(AC28&lt;&gt;"",AB28+AF28+AG28-1,AB28)</f>
        <v>1</v>
      </c>
      <c r="AI28" t="str">
        <f>IF(COUNTIF(AH$28:AH$31,AH28)=1,"",1)</f>
        <v/>
      </c>
      <c r="AJ28" t="str">
        <f>IF($AI28=1,Ränge1!Q28,"")</f>
        <v/>
      </c>
      <c r="AK28" t="str">
        <f>IF($AI28=2,Ränge1!Q28,"")</f>
        <v/>
      </c>
      <c r="AL28">
        <f>IF($AI28=1,_xlfn.RANK.EQ(AJ28,AJ$28:AJ$31),0)</f>
        <v>0</v>
      </c>
      <c r="AM28">
        <f>IF($AI28=2,_xlfn.RANK.EQ(AK28,AK$28:AK$31),0)</f>
        <v>0</v>
      </c>
      <c r="AN28" s="19">
        <f>IF(AI28&lt;&gt;"",AH28+AL28+AM28-1,AH28)</f>
        <v>1</v>
      </c>
      <c r="AO28" s="20">
        <f>AN28</f>
        <v>1</v>
      </c>
      <c r="AP28" t="s">
        <v>156</v>
      </c>
    </row>
    <row r="29" spans="1:42" x14ac:dyDescent="0.2">
      <c r="A29" s="14" t="s">
        <v>210</v>
      </c>
      <c r="B29">
        <f>IF(Tabelle!O49&gt;Tabelle!M49,1,0)</f>
        <v>0</v>
      </c>
      <c r="C29">
        <f>IF(Tabelle!M51&lt;Tabelle!O51,1,0)</f>
        <v>0</v>
      </c>
      <c r="D29">
        <f>IF(Tabelle!M53&gt;Tabelle!O53,1,0)</f>
        <v>1</v>
      </c>
      <c r="E29">
        <f>IF(AND(Tabelle!M49=Tabelle!O49,Tabelle!M49&lt;&gt;""),1,0)</f>
        <v>0</v>
      </c>
      <c r="F29">
        <f>IF(AND(Tabelle!M51=Tabelle!O51,Tabelle!M51&lt;&gt;""),1,0)</f>
        <v>1</v>
      </c>
      <c r="G29">
        <f>IF(AND(Tabelle!M53=Tabelle!O53,Tabelle!M53&lt;&gt;""),1,0)</f>
        <v>0</v>
      </c>
      <c r="H29" s="16"/>
      <c r="I29" t="s">
        <v>15</v>
      </c>
      <c r="J29" s="19">
        <f>_xlfn.RANK.EQ(Gruppen!K31,Gruppen!K$30:K$33,0)</f>
        <v>2</v>
      </c>
      <c r="K29" t="str">
        <f>IF(COUNTIF(J$28:J$31,J29)=1,"",IF(AND(COUNT(K$28)&gt;0,J$28&lt;&gt;J29),2,1))</f>
        <v/>
      </c>
      <c r="L29" t="str">
        <f>IF(K29=1,Ränge1!M29,"")</f>
        <v/>
      </c>
      <c r="M29" t="str">
        <f>IF(K29=2,Ränge1!M29,"")</f>
        <v/>
      </c>
      <c r="N29">
        <f>IF(K29=1,_xlfn.RANK.EQ(L29,L$28:L$31),0)</f>
        <v>0</v>
      </c>
      <c r="O29">
        <f>IF(K29=2,_xlfn.RANK.EQ(M29,M$28:M$31),0)</f>
        <v>0</v>
      </c>
      <c r="P29" s="19">
        <f>IF(K29&lt;&gt;"",J29+N29+O29-1,J29)</f>
        <v>2</v>
      </c>
      <c r="Q29" t="str">
        <f>IF(COUNTIF(P$28:P$31,P29)=1,"",IF(AND(COUNT(Q$28)&gt;0,P$28&lt;&gt;P29),2,1))</f>
        <v/>
      </c>
      <c r="R29" t="str">
        <f>IF(Q29=1,Ränge1!N29,"")</f>
        <v/>
      </c>
      <c r="S29" t="str">
        <f>IF(Q29=2,Ränge1!N29,"")</f>
        <v/>
      </c>
      <c r="T29">
        <f>IF($Q29=1,_xlfn.RANK.EQ(R29,R$28:R$31),0)</f>
        <v>0</v>
      </c>
      <c r="U29">
        <f>IF($Q29=2,_xlfn.RANK.EQ(S29,S$28:S$31),0)</f>
        <v>0</v>
      </c>
      <c r="V29" s="19">
        <f>IF(Q29&lt;&gt;"",P29+T29+U29-1,P29)</f>
        <v>2</v>
      </c>
      <c r="W29" t="str">
        <f>IF(COUNTIF(V$28:V$31,V29)=1,"",IF(AND(COUNT(W$28)&gt;0,V$28&lt;&gt;V29),2,1))</f>
        <v/>
      </c>
      <c r="X29" t="str">
        <f>IF(W29=1,Ränge1!O29,"")</f>
        <v/>
      </c>
      <c r="Y29" t="str">
        <f>IF(W29=2,Ränge1!O29,"")</f>
        <v/>
      </c>
      <c r="Z29">
        <f>IF($W29=1,_xlfn.RANK.EQ(X29,X$28:X$31),0)</f>
        <v>0</v>
      </c>
      <c r="AA29">
        <f>IF($W29=2,_xlfn.RANK.EQ(Y29,Y$28:Y$31),0)</f>
        <v>0</v>
      </c>
      <c r="AB29" s="19">
        <f>IF(W29&lt;&gt;"",V29+Z29+AA29-1,V29)</f>
        <v>2</v>
      </c>
      <c r="AC29" t="str">
        <f>IF(COUNTIF(AB$28:AB$31,AB29)=1,"",IF(AND(COUNT(AC$28)&gt;0,AB$28&lt;&gt;AB29),2,1))</f>
        <v/>
      </c>
      <c r="AD29" t="str">
        <f>IF(AC29=1,Ränge1!P29,"")</f>
        <v/>
      </c>
      <c r="AE29" t="str">
        <f>IF(AC29=2,Ränge1!P29,"")</f>
        <v/>
      </c>
      <c r="AF29">
        <f>IF($AC29=1,_xlfn.RANK.EQ(AD29,AD$28:AD$31),0)</f>
        <v>0</v>
      </c>
      <c r="AG29">
        <f>IF($AC29=2,_xlfn.RANK.EQ(AE29,AE$28:AE$31),0)</f>
        <v>0</v>
      </c>
      <c r="AH29" s="19">
        <f>IF(AC29&lt;&gt;"",AB29+AF29+AG29-1,AB29)</f>
        <v>2</v>
      </c>
      <c r="AI29" t="str">
        <f>IF(COUNTIF(AH$28:AH$31,AH29)=1,"",IF(AND(COUNT(AI$28)&gt;0,AH$28&lt;&gt;AH29),2,1))</f>
        <v/>
      </c>
      <c r="AJ29" t="str">
        <f>IF($AI29=1,Ränge1!Q29,"")</f>
        <v/>
      </c>
      <c r="AK29" t="str">
        <f>IF($AI29=2,Ränge1!Q29,"")</f>
        <v/>
      </c>
      <c r="AL29">
        <f>IF($AI29=1,_xlfn.RANK.EQ(AJ29,AJ$28:AJ$31),0)</f>
        <v>0</v>
      </c>
      <c r="AM29">
        <f>IF($AI29=2,_xlfn.RANK.EQ(AK29,AK$28:AK$31),0)</f>
        <v>0</v>
      </c>
      <c r="AN29" s="19">
        <f>IF(AI29&lt;&gt;"",AH29+AL29+AM29-1,AH29)</f>
        <v>2</v>
      </c>
      <c r="AO29" s="20">
        <f>AN29</f>
        <v>2</v>
      </c>
      <c r="AP29" t="s">
        <v>15</v>
      </c>
    </row>
    <row r="30" spans="1:42" x14ac:dyDescent="0.2">
      <c r="A30" s="14" t="s">
        <v>211</v>
      </c>
      <c r="B30">
        <f>IF(Tabelle!M48&gt;Tabelle!O48,1,0)</f>
        <v>1</v>
      </c>
      <c r="C30">
        <f>IF(Tabelle!O50&gt;Tabelle!M50,1,0)</f>
        <v>0</v>
      </c>
      <c r="D30">
        <f>IF(Tabelle!O53&gt;Tabelle!M53,1,0)</f>
        <v>0</v>
      </c>
      <c r="E30">
        <f>IF(AND(Tabelle!M48=Tabelle!O48,Tabelle!M48&lt;&gt;""),1,0)</f>
        <v>0</v>
      </c>
      <c r="F30">
        <f>IF(AND(Tabelle!M50=Tabelle!O50,Tabelle!M50&lt;&gt;""),1,0)</f>
        <v>0</v>
      </c>
      <c r="G30">
        <f>IF(AND(Tabelle!M53=Tabelle!O53,Tabelle!M53&lt;&gt;""),1,0)</f>
        <v>0</v>
      </c>
      <c r="H30" s="16"/>
      <c r="I30" t="s">
        <v>157</v>
      </c>
      <c r="J30" s="19">
        <f>_xlfn.RANK.EQ(Gruppen!K32,Gruppen!K$30:K$33,0)</f>
        <v>3</v>
      </c>
      <c r="K30" t="str">
        <f>IF(COUNTIF(J$28:J$31,J30)=1,"",IF(AND(COUNT(K$28)&gt;0,J$28&lt;&gt;J30),2,1))</f>
        <v/>
      </c>
      <c r="L30" t="str">
        <f>IF(K30=1,Ränge1!M30,"")</f>
        <v/>
      </c>
      <c r="M30" t="str">
        <f>IF(K30=2,Ränge1!M30,"")</f>
        <v/>
      </c>
      <c r="N30">
        <f>IF(K30=1,_xlfn.RANK.EQ(L30,L$28:L$31),0)</f>
        <v>0</v>
      </c>
      <c r="O30">
        <f>IF(K30=2,_xlfn.RANK.EQ(M30,M$28:M$31),0)</f>
        <v>0</v>
      </c>
      <c r="P30" s="19">
        <f>IF(K30&lt;&gt;"",J30+N30+O30-1,J30)</f>
        <v>3</v>
      </c>
      <c r="Q30" t="str">
        <f>IF(COUNTIF(P$28:P$31,P30)=1,"",IF(AND(COUNT(Q$28)&gt;0,P$28&lt;&gt;P30),2,1))</f>
        <v/>
      </c>
      <c r="R30" t="str">
        <f>IF(Q30=1,Ränge1!N30,"")</f>
        <v/>
      </c>
      <c r="S30" t="str">
        <f>IF(Q30=2,Ränge1!N30,"")</f>
        <v/>
      </c>
      <c r="T30">
        <f>IF($Q30=1,_xlfn.RANK.EQ(R30,R$28:R$31),0)</f>
        <v>0</v>
      </c>
      <c r="U30">
        <f>IF($Q30=2,_xlfn.RANK.EQ(S30,S$28:S$31),0)</f>
        <v>0</v>
      </c>
      <c r="V30" s="19">
        <f>IF(Q30&lt;&gt;"",P30+T30+U30-1,P30)</f>
        <v>3</v>
      </c>
      <c r="W30" t="str">
        <f>IF(COUNTIF(V$28:V$31,V30)=1,"",IF(AND(COUNT(W$28)&gt;0,V$28&lt;&gt;V30),2,1))</f>
        <v/>
      </c>
      <c r="X30" t="str">
        <f>IF(W30=1,Ränge1!O30,"")</f>
        <v/>
      </c>
      <c r="Y30" t="str">
        <f>IF(W30=2,Ränge1!O30,"")</f>
        <v/>
      </c>
      <c r="Z30">
        <f>IF($W30=1,_xlfn.RANK.EQ(X30,X$28:X$31),0)</f>
        <v>0</v>
      </c>
      <c r="AA30">
        <f>IF($W30=2,_xlfn.RANK.EQ(Y30,Y$28:Y$31),0)</f>
        <v>0</v>
      </c>
      <c r="AB30" s="19">
        <f>IF(W30&lt;&gt;"",V30+Z30+AA30-1,V30)</f>
        <v>3</v>
      </c>
      <c r="AC30" t="str">
        <f>IF(COUNTIF(AB$28:AB$31,AB30)=1,"",IF(AND(COUNT(AC$28)&gt;0,AB$28&lt;&gt;AB30),2,1))</f>
        <v/>
      </c>
      <c r="AD30" t="str">
        <f>IF(AC30=1,Ränge1!P30,"")</f>
        <v/>
      </c>
      <c r="AE30" t="str">
        <f>IF(AC30=2,Ränge1!P30,"")</f>
        <v/>
      </c>
      <c r="AF30">
        <f>IF($AC30=1,_xlfn.RANK.EQ(AD30,AD$28:AD$31),0)</f>
        <v>0</v>
      </c>
      <c r="AG30">
        <f>IF($AC30=2,_xlfn.RANK.EQ(AE30,AE$28:AE$31),0)</f>
        <v>0</v>
      </c>
      <c r="AH30" s="19">
        <f>IF(AC30&lt;&gt;"",AB30+AF30+AG30-1,AB30)</f>
        <v>3</v>
      </c>
      <c r="AI30" t="str">
        <f>IF(COUNTIF(AH$28:AH$31,AH30)=1,"",IF(AND(COUNT(AI$28)&gt;0,AH$28&lt;&gt;AH30),2,1))</f>
        <v/>
      </c>
      <c r="AJ30" t="str">
        <f>IF($AI30=1,Ränge1!Q30,"")</f>
        <v/>
      </c>
      <c r="AK30" t="str">
        <f>IF($AI30=2,Ränge1!Q30,"")</f>
        <v/>
      </c>
      <c r="AL30">
        <f>IF($AI30=1,_xlfn.RANK.EQ(AJ30,AJ$28:AJ$31),0)</f>
        <v>0</v>
      </c>
      <c r="AM30">
        <f>IF($AI30=2,_xlfn.RANK.EQ(AK30,AK$28:AK$31),0)</f>
        <v>0</v>
      </c>
      <c r="AN30" s="19">
        <f>IF(AI30&lt;&gt;"",AH30+AL30+AM30-1,AH30)</f>
        <v>3</v>
      </c>
      <c r="AO30" s="20">
        <f>AN30</f>
        <v>3</v>
      </c>
      <c r="AP30" t="s">
        <v>157</v>
      </c>
    </row>
    <row r="31" spans="1:42" x14ac:dyDescent="0.2">
      <c r="A31" s="14" t="s">
        <v>212</v>
      </c>
      <c r="B31">
        <f>IF(Tabelle!O48&gt;Tabelle!M48,1,0)</f>
        <v>0</v>
      </c>
      <c r="C31">
        <f>IF(Tabelle!O51&lt;Tabelle!M51,1,0)</f>
        <v>0</v>
      </c>
      <c r="D31">
        <f>IF(Tabelle!M52&gt;Tabelle!O52,1,0)</f>
        <v>0</v>
      </c>
      <c r="E31">
        <f>IF(AND(Tabelle!M48=Tabelle!O48,Tabelle!M48&lt;&gt;""),1,0)</f>
        <v>0</v>
      </c>
      <c r="F31">
        <f>IF(AND(Tabelle!M51=Tabelle!O51,Tabelle!M51&lt;&gt;""),1,0)</f>
        <v>1</v>
      </c>
      <c r="G31">
        <f>IF(AND(Tabelle!M52=Tabelle!O52,Tabelle!M52&lt;&gt;""),1,0)</f>
        <v>0</v>
      </c>
      <c r="H31" s="16"/>
      <c r="I31" t="s">
        <v>158</v>
      </c>
      <c r="J31" s="19">
        <f>_xlfn.RANK.EQ(Gruppen!K33,Gruppen!K$30:K$33,0)</f>
        <v>4</v>
      </c>
      <c r="K31" t="str">
        <f>IF(COUNTIF(J$28:J$31,J31)=1,"",IF(AND(COUNT(K$28)&gt;0,J$28&lt;&gt;J31),2,1))</f>
        <v/>
      </c>
      <c r="L31" t="str">
        <f>IF(K31=1,Ränge1!M31,"")</f>
        <v/>
      </c>
      <c r="M31" t="str">
        <f>IF(K31=2,Ränge1!M31,"")</f>
        <v/>
      </c>
      <c r="N31">
        <f>IF(K31=1,_xlfn.RANK.EQ(L31,L$28:L$31),0)</f>
        <v>0</v>
      </c>
      <c r="O31">
        <f>IF(K31=2,_xlfn.RANK.EQ(M31,M$28:M$31),0)</f>
        <v>0</v>
      </c>
      <c r="P31" s="19">
        <f>IF(K31&lt;&gt;"",J31+N31+O31-1,J31)</f>
        <v>4</v>
      </c>
      <c r="Q31" t="str">
        <f>IF(COUNTIF(P$28:P$31,P31)=1,"",IF(AND(COUNT(Q$28)&gt;0,P$28&lt;&gt;P31),2,1))</f>
        <v/>
      </c>
      <c r="R31" t="str">
        <f>IF(Q31=1,Ränge1!N31,"")</f>
        <v/>
      </c>
      <c r="S31" t="str">
        <f>IF(Q31=2,Ränge1!N31,"")</f>
        <v/>
      </c>
      <c r="T31">
        <f>IF($Q31=1,_xlfn.RANK.EQ(R31,R$28:R$31),0)</f>
        <v>0</v>
      </c>
      <c r="U31">
        <f>IF($Q31=2,_xlfn.RANK.EQ(S31,S$28:S$31),0)</f>
        <v>0</v>
      </c>
      <c r="V31" s="19">
        <f>IF(Q31&lt;&gt;"",P31+T31+U31-1,P31)</f>
        <v>4</v>
      </c>
      <c r="W31" t="str">
        <f>IF(COUNTIF(V$28:V$31,V31)=1,"",IF(AND(COUNT(W$28)&gt;0,V$28&lt;&gt;V31),2,1))</f>
        <v/>
      </c>
      <c r="X31" t="str">
        <f>IF(W31=1,Ränge1!O31,"")</f>
        <v/>
      </c>
      <c r="Y31" t="str">
        <f>IF(W31=2,Ränge1!O31,"")</f>
        <v/>
      </c>
      <c r="Z31">
        <f>IF($W31=1,_xlfn.RANK.EQ(X31,X$28:X$31),0)</f>
        <v>0</v>
      </c>
      <c r="AA31">
        <f>IF($W31=2,_xlfn.RANK.EQ(Y31,Y$28:Y$31),0)</f>
        <v>0</v>
      </c>
      <c r="AB31" s="19">
        <f>IF(W31&lt;&gt;"",V31+Z31+AA31-1,V31)</f>
        <v>4</v>
      </c>
      <c r="AC31" t="str">
        <f>IF(COUNTIF(AB$28:AB$31,AB31)=1,"",IF(AND(COUNT(AC$28)&gt;0,AB$28&lt;&gt;AB31),2,1))</f>
        <v/>
      </c>
      <c r="AD31" t="str">
        <f>IF(AC31=1,Ränge1!P31,"")</f>
        <v/>
      </c>
      <c r="AE31" t="str">
        <f>IF(AC31=2,Ränge1!P31,"")</f>
        <v/>
      </c>
      <c r="AF31">
        <f>IF($AC31=1,_xlfn.RANK.EQ(AD31,AD$28:AD$31),0)</f>
        <v>0</v>
      </c>
      <c r="AG31">
        <f>IF($AC31=2,_xlfn.RANK.EQ(AE31,AE$28:AE$31),0)</f>
        <v>0</v>
      </c>
      <c r="AH31" s="19">
        <f>IF(AC31&lt;&gt;"",AB31+AF31+AG31-1,AB31)</f>
        <v>4</v>
      </c>
      <c r="AI31" t="str">
        <f>IF(COUNTIF(AH$28:AH$31,AH31)=1,"",IF(AND(COUNT(AI$28)&gt;0,AH$28&lt;&gt;AH31),2,1))</f>
        <v/>
      </c>
      <c r="AJ31" t="str">
        <f>IF($AI31=1,Ränge1!Q31,"")</f>
        <v/>
      </c>
      <c r="AK31" t="str">
        <f>IF($AI31=2,Ränge1!Q31,"")</f>
        <v/>
      </c>
      <c r="AL31">
        <f>IF($AI31=1,_xlfn.RANK.EQ(AJ31,AJ$28:AJ$31),0)</f>
        <v>0</v>
      </c>
      <c r="AM31">
        <f>IF($AI31=2,_xlfn.RANK.EQ(AK31,AK$28:AK$31),0)</f>
        <v>0</v>
      </c>
      <c r="AN31" s="19">
        <f>IF(AI31&lt;&gt;"",AH31+AL31+AM31-1,AH31)</f>
        <v>4</v>
      </c>
      <c r="AO31" s="20">
        <f>AN31</f>
        <v>4</v>
      </c>
      <c r="AP31" t="s">
        <v>158</v>
      </c>
    </row>
    <row r="32" spans="1:42" x14ac:dyDescent="0.2">
      <c r="A32" s="14"/>
      <c r="G32" s="15"/>
      <c r="H32" s="16"/>
    </row>
    <row r="33" spans="1:42" x14ac:dyDescent="0.2">
      <c r="A33" s="14"/>
      <c r="G33" s="15"/>
      <c r="H33" s="16"/>
    </row>
    <row r="34" spans="1:42" x14ac:dyDescent="0.2">
      <c r="A34" s="14" t="s">
        <v>213</v>
      </c>
      <c r="B34">
        <f>IF(Tabelle!AD48&gt;Tabelle!AF48,1,0)</f>
        <v>1</v>
      </c>
      <c r="C34">
        <f>IF(Tabelle!AD51&gt;Tabelle!AF51,1,0)</f>
        <v>1</v>
      </c>
      <c r="D34">
        <f>IF(Tabelle!AF52&gt;Tabelle!AD52,1,0)</f>
        <v>1</v>
      </c>
      <c r="E34">
        <f>IF(AND(Tabelle!AD48=Tabelle!AF48,Tabelle!AD48&lt;&gt;""),1,0)</f>
        <v>0</v>
      </c>
      <c r="F34">
        <f>IF(AND(Tabelle!AD51=Tabelle!AF51,Tabelle!AD51&lt;&gt;""),1,0)</f>
        <v>0</v>
      </c>
      <c r="G34">
        <f>IF(AND(Tabelle!AD52=Tabelle!AF52,Tabelle!AD52&lt;&gt;""),1,0)</f>
        <v>0</v>
      </c>
      <c r="H34" s="16"/>
      <c r="I34" t="s">
        <v>196</v>
      </c>
      <c r="J34" s="19">
        <f>_xlfn.RANK.EQ(Gruppen!K36,Gruppen!K$36:K$39,0)</f>
        <v>1</v>
      </c>
      <c r="K34" s="21" t="str">
        <f>IF(COUNTIF(J$34:J$37,J34)=1,"",1)</f>
        <v/>
      </c>
      <c r="L34" t="str">
        <f>IF(K34=1,Ränge1!M34,"")</f>
        <v/>
      </c>
      <c r="M34" t="str">
        <f>IF(K34=2,Ränge1!M34,"")</f>
        <v/>
      </c>
      <c r="N34">
        <f>IF(K34=1,_xlfn.RANK.EQ(L34,L$34:L$37),0)</f>
        <v>0</v>
      </c>
      <c r="O34">
        <f>IF(K34=2,_xlfn.RANK.EQ(M34,M$34:M$37),0)</f>
        <v>0</v>
      </c>
      <c r="P34" s="19">
        <f>IF(K34&lt;&gt;"",J34+N34+O34-1,J34)</f>
        <v>1</v>
      </c>
      <c r="Q34" t="str">
        <f>IF(COUNTIF(P$34:P$37,P34)=1,"",1)</f>
        <v/>
      </c>
      <c r="R34" t="str">
        <f>IF(Q34=1,Ränge1!N34,"")</f>
        <v/>
      </c>
      <c r="S34" t="str">
        <f>IF(Q34=2,Ränge1!N34,"")</f>
        <v/>
      </c>
      <c r="T34">
        <f>IF($Q34=1,_xlfn.RANK.EQ(R34,R$34:R$37),0)</f>
        <v>0</v>
      </c>
      <c r="U34">
        <f>IF($Q34=2,_xlfn.RANK.EQ(S34,S$34:S$37),0)</f>
        <v>0</v>
      </c>
      <c r="V34" s="19">
        <f>IF(Q34&lt;&gt;"",P34+T34+U34-1,P34)</f>
        <v>1</v>
      </c>
      <c r="W34" t="str">
        <f>IF(COUNTIF(V$34:V$37,V34)=1,"",1)</f>
        <v/>
      </c>
      <c r="X34" t="str">
        <f>IF(W34=1,Ränge1!O34,"")</f>
        <v/>
      </c>
      <c r="Y34" t="str">
        <f>IF(W34=2,Ränge1!O34,"")</f>
        <v/>
      </c>
      <c r="Z34">
        <f>IF($W34=1,_xlfn.RANK.EQ(X34,X$34:X$37),0)</f>
        <v>0</v>
      </c>
      <c r="AA34">
        <f>IF($W34=2,_xlfn.RANK.EQ(Y34,Y$34:Y$37),0)</f>
        <v>0</v>
      </c>
      <c r="AB34" s="19">
        <f>IF(W34&lt;&gt;"",V34+Z34+AA34-1,V34)</f>
        <v>1</v>
      </c>
      <c r="AC34" t="str">
        <f>IF(COUNTIF(AB$34:AB$37,AB34)=1,"",1)</f>
        <v/>
      </c>
      <c r="AD34" t="str">
        <f>IF(AC34=1,Ränge1!P34,"")</f>
        <v/>
      </c>
      <c r="AE34" t="str">
        <f>IF(AC34=2,Ränge1!P34,"")</f>
        <v/>
      </c>
      <c r="AF34">
        <f>IF($AC34=1,_xlfn.RANK.EQ(AD34,AD$34:AD$37),0)</f>
        <v>0</v>
      </c>
      <c r="AG34">
        <f>IF($AC34=2,_xlfn.RANK.EQ(AE34,AE$34:AE$37),0)</f>
        <v>0</v>
      </c>
      <c r="AH34" s="19">
        <f>IF(AC34&lt;&gt;"",AB34+AF34+AG34-1,AB34)</f>
        <v>1</v>
      </c>
      <c r="AI34" t="str">
        <f>IF(COUNTIF(AH$34:AH$37,AH34)=1,"",1)</f>
        <v/>
      </c>
      <c r="AJ34" t="str">
        <f>IF($AI34=1,Ränge1!Q34,"")</f>
        <v/>
      </c>
      <c r="AK34" t="str">
        <f>IF($AI34=2,Ränge1!Q34,"")</f>
        <v/>
      </c>
      <c r="AL34">
        <f>IF($AI34=1,_xlfn.RANK.EQ(AJ34,AJ$34:AJ$37),0)</f>
        <v>0</v>
      </c>
      <c r="AM34">
        <f>IF($AI34=2,_xlfn.RANK.EQ(AK34,AK$34:AK$37),0)</f>
        <v>0</v>
      </c>
      <c r="AN34" s="19">
        <f>IF(AI34&lt;&gt;"",AH34+AL34+AM34-1,AH34)</f>
        <v>1</v>
      </c>
      <c r="AO34" s="20">
        <f>AN34</f>
        <v>1</v>
      </c>
      <c r="AP34" t="s">
        <v>196</v>
      </c>
    </row>
    <row r="35" spans="1:42" x14ac:dyDescent="0.2">
      <c r="A35" s="14" t="s">
        <v>214</v>
      </c>
      <c r="B35">
        <f>IF(Tabelle!AF48&gt;Tabelle!AD48,1,0)</f>
        <v>0</v>
      </c>
      <c r="C35">
        <f>IF(Tabelle!AD50&lt;Tabelle!AF50,1,0)</f>
        <v>1</v>
      </c>
      <c r="D35">
        <f>IF(Tabelle!AD53&gt;Tabelle!AF53,1,0)</f>
        <v>0</v>
      </c>
      <c r="E35">
        <f>IF(AND(Tabelle!AD48=Tabelle!AF48,Tabelle!AD48&lt;&gt;""),1,0)</f>
        <v>0</v>
      </c>
      <c r="F35">
        <f>IF(AND(Tabelle!AD50=Tabelle!AF50,Tabelle!AD50&lt;&gt;""),1,0)</f>
        <v>0</v>
      </c>
      <c r="G35">
        <f>IF(AND(Tabelle!AD53=Tabelle!AF53,Tabelle!AD53&lt;&gt;""),1,0)</f>
        <v>0</v>
      </c>
      <c r="H35" s="16"/>
      <c r="I35" t="s">
        <v>159</v>
      </c>
      <c r="J35" s="19">
        <f>_xlfn.RANK.EQ(Gruppen!K37,Gruppen!K$36:K$39,0)</f>
        <v>3</v>
      </c>
      <c r="K35" t="str">
        <f>IF(COUNTIF(J$34:J$37,J35)=1,"",IF(AND(COUNT(K$34)&gt;0,J$34&lt;&gt;J35),2,1))</f>
        <v/>
      </c>
      <c r="L35" t="str">
        <f>IF(K35=1,Ränge1!M35,"")</f>
        <v/>
      </c>
      <c r="M35" t="str">
        <f>IF(K35=2,Ränge1!M35,"")</f>
        <v/>
      </c>
      <c r="N35">
        <f>IF(K35=1,_xlfn.RANK.EQ(L35,L$34:L$37),0)</f>
        <v>0</v>
      </c>
      <c r="O35">
        <f>IF(K35=2,_xlfn.RANK.EQ(M35,M$34:M$37),0)</f>
        <v>0</v>
      </c>
      <c r="P35" s="19">
        <f>IF(K35&lt;&gt;"",J35+N35+O35-1,J35)</f>
        <v>3</v>
      </c>
      <c r="Q35" t="str">
        <f>IF(COUNTIF(P$34:P$37,P35)=1,"",IF(AND(COUNT(Q$34)&gt;0,P$34&lt;&gt;P35),2,1))</f>
        <v/>
      </c>
      <c r="R35" t="str">
        <f>IF(Q35=1,Ränge1!N35,"")</f>
        <v/>
      </c>
      <c r="S35" t="str">
        <f>IF(Q35=2,Ränge1!N35,"")</f>
        <v/>
      </c>
      <c r="T35">
        <f>IF($Q35=1,_xlfn.RANK.EQ(R35,R$34:R$37),0)</f>
        <v>0</v>
      </c>
      <c r="U35">
        <f>IF($Q35=2,_xlfn.RANK.EQ(S35,S$34:S$37),0)</f>
        <v>0</v>
      </c>
      <c r="V35" s="19">
        <f>IF(Q35&lt;&gt;"",P35+T35+U35-1,P35)</f>
        <v>3</v>
      </c>
      <c r="W35" t="str">
        <f>IF(COUNTIF(V$34:V$37,V35)=1,"",IF(AND(COUNT(W$34)&gt;0,V$34&lt;&gt;V35),2,1))</f>
        <v/>
      </c>
      <c r="X35" t="str">
        <f>IF(W35=1,Ränge1!O35,"")</f>
        <v/>
      </c>
      <c r="Y35" t="str">
        <f>IF(W35=2,Ränge1!O35,"")</f>
        <v/>
      </c>
      <c r="Z35">
        <f>IF($W35=1,_xlfn.RANK.EQ(X35,X$34:X$37),0)</f>
        <v>0</v>
      </c>
      <c r="AA35">
        <f>IF($W35=2,_xlfn.RANK.EQ(Y35,Y$34:Y$37),0)</f>
        <v>0</v>
      </c>
      <c r="AB35" s="19">
        <f>IF(W35&lt;&gt;"",V35+Z35+AA35-1,V35)</f>
        <v>3</v>
      </c>
      <c r="AC35" t="str">
        <f>IF(COUNTIF(AB$34:AB$37,AB35)=1,"",IF(AND(COUNT(AC$34)&gt;0,AB$34&lt;&gt;AB35),2,1))</f>
        <v/>
      </c>
      <c r="AD35" t="str">
        <f>IF(AC35=1,Ränge1!P35,"")</f>
        <v/>
      </c>
      <c r="AE35" t="str">
        <f>IF(AC35=2,Ränge1!P35,"")</f>
        <v/>
      </c>
      <c r="AF35">
        <f>IF($AC35=1,_xlfn.RANK.EQ(AD35,AD$34:AD$37),0)</f>
        <v>0</v>
      </c>
      <c r="AG35">
        <f>IF($AC35=2,_xlfn.RANK.EQ(AE35,AE$34:AE$37),0)</f>
        <v>0</v>
      </c>
      <c r="AH35" s="19">
        <f>IF(AC35&lt;&gt;"",AB35+AF35+AG35-1,AB35)</f>
        <v>3</v>
      </c>
      <c r="AI35" t="str">
        <f>IF(COUNTIF(AH$34:AH$37,AH35)=1,"",IF(AND(COUNT(AI$34)&gt;0,AH$34&lt;&gt;AH35),2,1))</f>
        <v/>
      </c>
      <c r="AJ35" t="str">
        <f>IF($AI35=1,Ränge1!Q35,"")</f>
        <v/>
      </c>
      <c r="AK35" t="str">
        <f>IF($AI35=2,Ränge1!Q35,"")</f>
        <v/>
      </c>
      <c r="AL35">
        <f>IF($AI35=1,_xlfn.RANK.EQ(AJ35,AJ$34:AJ$37),0)</f>
        <v>0</v>
      </c>
      <c r="AM35">
        <f>IF($AI35=2,_xlfn.RANK.EQ(AK35,AK$34:AK$37),0)</f>
        <v>0</v>
      </c>
      <c r="AN35" s="19">
        <f>IF(AI35&lt;&gt;"",AH35+AL35+AM35-1,AH35)</f>
        <v>3</v>
      </c>
      <c r="AO35" s="20">
        <f>AN35</f>
        <v>3</v>
      </c>
      <c r="AP35" t="s">
        <v>159</v>
      </c>
    </row>
    <row r="36" spans="1:42" x14ac:dyDescent="0.2">
      <c r="A36" s="14" t="s">
        <v>215</v>
      </c>
      <c r="B36">
        <f>IF(Tabelle!AD49&gt;Tabelle!AF49,1,0)</f>
        <v>1</v>
      </c>
      <c r="C36">
        <f>IF(Tabelle!AF51&gt;Tabelle!AD51,1,0)</f>
        <v>0</v>
      </c>
      <c r="D36">
        <f>IF(Tabelle!AF53&gt;Tabelle!AD53,1,0)</f>
        <v>1</v>
      </c>
      <c r="E36">
        <f>IF(AND(Tabelle!AD49=Tabelle!AF49,Tabelle!AD49&lt;&gt;""),1,0)</f>
        <v>0</v>
      </c>
      <c r="F36">
        <f>IF(AND(Tabelle!AD51=Tabelle!AF51,Tabelle!AD51&lt;&gt;""),1,0)</f>
        <v>0</v>
      </c>
      <c r="G36">
        <f>IF(AND(Tabelle!AD53=Tabelle!AF53,Tabelle!AD53&lt;&gt;""),1,0)</f>
        <v>0</v>
      </c>
      <c r="H36" s="16"/>
      <c r="I36" t="s">
        <v>37</v>
      </c>
      <c r="J36" s="19">
        <f>_xlfn.RANK.EQ(Gruppen!K38,Gruppen!K$36:K$39,0)</f>
        <v>2</v>
      </c>
      <c r="K36" t="str">
        <f>IF(COUNTIF(J$34:J$37,J36)=1,"",IF(AND(COUNT(K$34)&gt;0,J$34&lt;&gt;J36),2,1))</f>
        <v/>
      </c>
      <c r="L36" t="str">
        <f>IF(K36=1,Ränge1!M36,"")</f>
        <v/>
      </c>
      <c r="M36" t="str">
        <f>IF(K36=2,Ränge1!M36,"")</f>
        <v/>
      </c>
      <c r="N36">
        <f>IF(K36=1,_xlfn.RANK.EQ(L36,L$34:L$37),0)</f>
        <v>0</v>
      </c>
      <c r="O36">
        <f>IF(K36=2,_xlfn.RANK.EQ(M36,M$34:M$37),0)</f>
        <v>0</v>
      </c>
      <c r="P36" s="19">
        <f>IF(K36&lt;&gt;"",J36+N36+O36-1,J36)</f>
        <v>2</v>
      </c>
      <c r="Q36" t="str">
        <f>IF(COUNTIF(P$34:P$37,P36)=1,"",IF(AND(COUNT(Q$34)&gt;0,P$34&lt;&gt;P36),2,1))</f>
        <v/>
      </c>
      <c r="R36" t="str">
        <f>IF(Q36=1,Ränge1!N36,"")</f>
        <v/>
      </c>
      <c r="S36" t="str">
        <f>IF(Q36=2,Ränge1!N36,"")</f>
        <v/>
      </c>
      <c r="T36">
        <f>IF($Q36=1,_xlfn.RANK.EQ(R36,R$34:R$37),0)</f>
        <v>0</v>
      </c>
      <c r="U36">
        <f>IF($Q36=2,_xlfn.RANK.EQ(S36,S$34:S$37),0)</f>
        <v>0</v>
      </c>
      <c r="V36" s="19">
        <f>IF(Q36&lt;&gt;"",P36+T36+U36-1,P36)</f>
        <v>2</v>
      </c>
      <c r="W36" t="str">
        <f>IF(COUNTIF(V$34:V$37,V36)=1,"",IF(AND(COUNT(W$34)&gt;0,V$34&lt;&gt;V36),2,1))</f>
        <v/>
      </c>
      <c r="X36" t="str">
        <f>IF(W36=1,Ränge1!O36,"")</f>
        <v/>
      </c>
      <c r="Y36" t="str">
        <f>IF(W36=2,Ränge1!O36,"")</f>
        <v/>
      </c>
      <c r="Z36">
        <f>IF($W36=1,_xlfn.RANK.EQ(X36,X$34:X$37),0)</f>
        <v>0</v>
      </c>
      <c r="AA36">
        <f>IF($W36=2,_xlfn.RANK.EQ(Y36,Y$34:Y$37),0)</f>
        <v>0</v>
      </c>
      <c r="AB36" s="19">
        <f>IF(W36&lt;&gt;"",V36+Z36+AA36-1,V36)</f>
        <v>2</v>
      </c>
      <c r="AC36" t="str">
        <f>IF(COUNTIF(AB$34:AB$37,AB36)=1,"",IF(AND(COUNT(AC$34)&gt;0,AB$34&lt;&gt;AB36),2,1))</f>
        <v/>
      </c>
      <c r="AD36" t="str">
        <f>IF(AC36=1,Ränge1!P36,"")</f>
        <v/>
      </c>
      <c r="AE36" t="str">
        <f>IF(AC36=2,Ränge1!P36,"")</f>
        <v/>
      </c>
      <c r="AF36">
        <f>IF($AC36=1,_xlfn.RANK.EQ(AD36,AD$34:AD$37),0)</f>
        <v>0</v>
      </c>
      <c r="AG36">
        <f>IF($AC36=2,_xlfn.RANK.EQ(AE36,AE$34:AE$37),0)</f>
        <v>0</v>
      </c>
      <c r="AH36" s="19">
        <f>IF(AC36&lt;&gt;"",AB36+AF36+AG36-1,AB36)</f>
        <v>2</v>
      </c>
      <c r="AI36" t="str">
        <f>IF(COUNTIF(AH$34:AH$37,AH36)=1,"",IF(AND(COUNT(AI$34)&gt;0,AH$34&lt;&gt;AH36),2,1))</f>
        <v/>
      </c>
      <c r="AJ36" t="str">
        <f>IF($AI36=1,Ränge1!Q36,"")</f>
        <v/>
      </c>
      <c r="AK36" t="str">
        <f>IF($AI36=2,Ränge1!Q36,"")</f>
        <v/>
      </c>
      <c r="AL36">
        <f>IF($AI36=1,_xlfn.RANK.EQ(AJ36,AJ$34:AJ$37),0)</f>
        <v>0</v>
      </c>
      <c r="AM36">
        <f>IF($AI36=2,_xlfn.RANK.EQ(AK36,AK$34:AK$37),0)</f>
        <v>0</v>
      </c>
      <c r="AN36" s="19">
        <f>IF(AI36&lt;&gt;"",AH36+AL36+AM36-1,AH36)</f>
        <v>2</v>
      </c>
      <c r="AO36" s="20">
        <f>AN36</f>
        <v>2</v>
      </c>
      <c r="AP36" t="s">
        <v>37</v>
      </c>
    </row>
    <row r="37" spans="1:42" ht="16" thickBot="1" x14ac:dyDescent="0.25">
      <c r="A37" s="24" t="s">
        <v>216</v>
      </c>
      <c r="B37" s="25">
        <f>IF(Tabelle!AF49&gt;Tabelle!AD49,1,0)</f>
        <v>0</v>
      </c>
      <c r="C37" s="25">
        <f>IF(Tabelle!AF50&lt;Tabelle!AD50,1,0)</f>
        <v>0</v>
      </c>
      <c r="D37" s="25">
        <f>IF(Tabelle!AD52&gt;Tabelle!AF52,1,0)</f>
        <v>0</v>
      </c>
      <c r="E37" s="25">
        <f>IF(AND(Tabelle!AD49=Tabelle!AF49,Tabelle!AD49&lt;&gt;""),1,0)</f>
        <v>0</v>
      </c>
      <c r="F37" s="25">
        <f>IF(AND(Tabelle!AD50=Tabelle!AF50,Tabelle!AD50&lt;&gt;""),1,0)</f>
        <v>0</v>
      </c>
      <c r="G37" s="25">
        <f>IF(AND(Tabelle!AD52=Tabelle!AF52,Tabelle!AD52&lt;&gt;""),1,0)</f>
        <v>0</v>
      </c>
      <c r="H37" s="16"/>
      <c r="I37" t="s">
        <v>160</v>
      </c>
      <c r="J37" s="19">
        <f>_xlfn.RANK.EQ(Gruppen!K39,Gruppen!K$36:K$39,0)</f>
        <v>4</v>
      </c>
      <c r="K37" t="str">
        <f>IF(COUNTIF(J$34:J$37,J37)=1,"",IF(AND(COUNT(K$34)&gt;0,J$34&lt;&gt;J37),2,1))</f>
        <v/>
      </c>
      <c r="L37" t="str">
        <f>IF(K37=1,Ränge1!M37,"")</f>
        <v/>
      </c>
      <c r="M37" t="str">
        <f>IF(K37=2,Ränge1!M37,"")</f>
        <v/>
      </c>
      <c r="N37">
        <f>IF(K37=1,_xlfn.RANK.EQ(L37,L$34:L$37),0)</f>
        <v>0</v>
      </c>
      <c r="O37">
        <f>IF(K37=2,_xlfn.RANK.EQ(M37,M$34:M$37),0)</f>
        <v>0</v>
      </c>
      <c r="P37" s="19">
        <f>IF(K37&lt;&gt;"",J37+N37+O37-1,J37)</f>
        <v>4</v>
      </c>
      <c r="Q37" t="str">
        <f>IF(COUNTIF(P$34:P$37,P37)=1,"",IF(AND(COUNT(Q$34)&gt;0,P$34&lt;&gt;P37),2,1))</f>
        <v/>
      </c>
      <c r="R37" t="str">
        <f>IF(Q37=1,Ränge1!N37,"")</f>
        <v/>
      </c>
      <c r="S37" t="str">
        <f>IF(Q37=2,Ränge1!N37,"")</f>
        <v/>
      </c>
      <c r="T37">
        <f>IF($Q37=1,_xlfn.RANK.EQ(R37,R$34:R$37),0)</f>
        <v>0</v>
      </c>
      <c r="U37">
        <f>IF($Q37=2,_xlfn.RANK.EQ(S37,S$34:S$37),0)</f>
        <v>0</v>
      </c>
      <c r="V37" s="19">
        <f>IF(Q37&lt;&gt;"",P37+T37+U37-1,P37)</f>
        <v>4</v>
      </c>
      <c r="W37" t="str">
        <f>IF(COUNTIF(V$34:V$37,V37)=1,"",IF(AND(COUNT(W$34)&gt;0,V$34&lt;&gt;V37),2,1))</f>
        <v/>
      </c>
      <c r="X37" t="str">
        <f>IF(W37=1,Ränge1!O37,"")</f>
        <v/>
      </c>
      <c r="Y37" t="str">
        <f>IF(W37=2,Ränge1!O37,"")</f>
        <v/>
      </c>
      <c r="Z37">
        <f>IF($W37=1,_xlfn.RANK.EQ(X37,X$34:X$37),0)</f>
        <v>0</v>
      </c>
      <c r="AA37">
        <f>IF($W37=2,_xlfn.RANK.EQ(Y37,Y$34:Y$37),0)</f>
        <v>0</v>
      </c>
      <c r="AB37" s="19">
        <f>IF(W37&lt;&gt;"",V37+Z37+AA37-1,V37)</f>
        <v>4</v>
      </c>
      <c r="AC37" t="str">
        <f>IF(COUNTIF(AB$34:AB$37,AB37)=1,"",IF(AND(COUNT(AC$34)&gt;0,AB$34&lt;&gt;AB37),2,1))</f>
        <v/>
      </c>
      <c r="AD37" t="str">
        <f>IF(AC37=1,Ränge1!P37,"")</f>
        <v/>
      </c>
      <c r="AE37" t="str">
        <f>IF(AC37=2,Ränge1!P37,"")</f>
        <v/>
      </c>
      <c r="AF37">
        <f>IF($AC37=1,_xlfn.RANK.EQ(AD37,AD$34:AD$37),0)</f>
        <v>0</v>
      </c>
      <c r="AG37">
        <f>IF($AC37=2,_xlfn.RANK.EQ(AE37,AE$34:AE$37),0)</f>
        <v>0</v>
      </c>
      <c r="AH37" s="19">
        <f>IF(AC37&lt;&gt;"",AB37+AF37+AG37-1,AB37)</f>
        <v>4</v>
      </c>
      <c r="AI37" t="str">
        <f>IF(COUNTIF(AH$34:AH$37,AH37)=1,"",IF(AND(COUNT(AI$34)&gt;0,AH$34&lt;&gt;AH37),2,1))</f>
        <v/>
      </c>
      <c r="AJ37" t="str">
        <f>IF($AI37=1,Ränge1!Q37,"")</f>
        <v/>
      </c>
      <c r="AK37" t="str">
        <f>IF($AI37=2,Ränge1!Q37,"")</f>
        <v/>
      </c>
      <c r="AL37">
        <f>IF($AI37=1,_xlfn.RANK.EQ(AJ37,AJ$34:AJ$37),0)</f>
        <v>0</v>
      </c>
      <c r="AM37">
        <f>IF($AI37=2,_xlfn.RANK.EQ(AK37,AK$34:AK$37),0)</f>
        <v>0</v>
      </c>
      <c r="AN37" s="19">
        <f>IF(AI37&lt;&gt;"",AH37+AL37+AM37-1,AH37)</f>
        <v>4</v>
      </c>
      <c r="AO37" s="20">
        <f>AN37</f>
        <v>4</v>
      </c>
      <c r="AP37" t="s">
        <v>160</v>
      </c>
    </row>
    <row r="38" spans="1:42" x14ac:dyDescent="0.2">
      <c r="A38" s="14"/>
      <c r="B38" s="225"/>
      <c r="C38" s="225"/>
      <c r="D38" s="225"/>
      <c r="E38" s="225"/>
      <c r="F38" s="225"/>
      <c r="G38" s="225"/>
      <c r="H38" s="16"/>
      <c r="J38" s="19"/>
      <c r="P38" s="19"/>
      <c r="V38" s="19"/>
      <c r="AB38" s="19"/>
      <c r="AH38" s="19"/>
      <c r="AN38" s="19"/>
      <c r="AO38" s="20"/>
    </row>
    <row r="39" spans="1:42" x14ac:dyDescent="0.2">
      <c r="A39" s="14"/>
      <c r="G39" s="15"/>
      <c r="H39" s="16"/>
    </row>
    <row r="40" spans="1:42" x14ac:dyDescent="0.2">
      <c r="A40" s="14" t="s">
        <v>217</v>
      </c>
      <c r="B40">
        <f>IF(Tabelle!M65&gt;Tabelle!O65,1,0)</f>
        <v>1</v>
      </c>
      <c r="C40">
        <f>IF(Tabelle!M67&gt;Tabelle!O67,1,0)</f>
        <v>1</v>
      </c>
      <c r="D40">
        <f>IF(Tabelle!O69&gt;Tabelle!M69,1,0)</f>
        <v>0</v>
      </c>
      <c r="E40">
        <f>IF(AND(Tabelle!M65=Tabelle!O65,Tabelle!M65&lt;&gt;""),1,0)</f>
        <v>0</v>
      </c>
      <c r="F40">
        <f>IF(AND(Tabelle!M67=Tabelle!O67,Tabelle!M67&lt;&gt;""),1,0)</f>
        <v>0</v>
      </c>
      <c r="G40">
        <f>IF(AND(Tabelle!M69=Tabelle!O69,Tabelle!M69&lt;&gt;""),1,0)</f>
        <v>1</v>
      </c>
      <c r="H40" s="16"/>
      <c r="I40" t="s">
        <v>35</v>
      </c>
      <c r="J40" s="19">
        <f>_xlfn.RANK.EQ(Gruppen!K42,Gruppen!K$42:K$45,0)</f>
        <v>1</v>
      </c>
      <c r="K40" s="21">
        <f>IF(COUNTIF(J$40:J$43,J40)=1,"",1)</f>
        <v>1</v>
      </c>
      <c r="L40">
        <f>IF(K40=1,Ränge1!M40,"")</f>
        <v>5</v>
      </c>
      <c r="M40" t="str">
        <f>IF(K40=2,Ränge1!M40,"")</f>
        <v/>
      </c>
      <c r="N40">
        <f>IF(K40=1,_xlfn.RANK.EQ(L40,L$40:L$43),0)</f>
        <v>1</v>
      </c>
      <c r="O40">
        <f>IF(K40=2,_xlfn.RANK.EQ(M40,M$40:M$43),0)</f>
        <v>0</v>
      </c>
      <c r="P40" s="19">
        <f>IF(K40&lt;&gt;"",J40+N40+O40-1,J40)</f>
        <v>1</v>
      </c>
      <c r="Q40" t="str">
        <f>IF(COUNTIF(P$40:P$43,P40)=1,"",1)</f>
        <v/>
      </c>
      <c r="R40" t="str">
        <f>IF(Q40=1,Ränge1!N40,"")</f>
        <v/>
      </c>
      <c r="S40" t="str">
        <f>IF(Q40=2,Ränge1!N40,"")</f>
        <v/>
      </c>
      <c r="T40">
        <f>IF($Q40=1,_xlfn.RANK.EQ(R40,R$40:R$43),0)</f>
        <v>0</v>
      </c>
      <c r="U40">
        <f>IF($Q40=2,_xlfn.RANK.EQ(S40,S$40:S$43),0)</f>
        <v>0</v>
      </c>
      <c r="V40" s="19">
        <f>IF(Q40&lt;&gt;"",P40+T40+U40-1,P40)</f>
        <v>1</v>
      </c>
      <c r="W40" t="str">
        <f>IF(COUNTIF(V$40:V$43,V40)=1,"",1)</f>
        <v/>
      </c>
      <c r="X40" t="str">
        <f>IF(W40=1,Ränge1!O40,"")</f>
        <v/>
      </c>
      <c r="Y40" t="str">
        <f>IF(W40=2,Ränge1!O40,"")</f>
        <v/>
      </c>
      <c r="Z40">
        <f>IF($W40=1,_xlfn.RANK.EQ(X40,X$40:X$43),0)</f>
        <v>0</v>
      </c>
      <c r="AA40">
        <f>IF($W40=2,_xlfn.RANK.EQ(Y40,Y$40:Y$43),0)</f>
        <v>0</v>
      </c>
      <c r="AB40" s="19">
        <f>IF(W40&lt;&gt;"",V40+Z40+AA40-1,V40)</f>
        <v>1</v>
      </c>
      <c r="AC40" t="str">
        <f>IF(COUNTIF(AB$40:AB$43,AB40)=1,"",1)</f>
        <v/>
      </c>
      <c r="AD40" t="str">
        <f>IF(AC40=1,Ränge1!P40,"")</f>
        <v/>
      </c>
      <c r="AE40" t="str">
        <f>IF(AC40=2,Ränge1!P40,"")</f>
        <v/>
      </c>
      <c r="AF40">
        <f>IF($AC40=1,_xlfn.RANK.EQ(AD40,AD$40:AD$43),0)</f>
        <v>0</v>
      </c>
      <c r="AG40">
        <f>IF($AC40=2,_xlfn.RANK.EQ(AE40,AE$40:AE$43),0)</f>
        <v>0</v>
      </c>
      <c r="AH40" s="19">
        <f>IF(AC40&lt;&gt;"",AB40+AF40+AG40-1,AB40)</f>
        <v>1</v>
      </c>
      <c r="AI40" t="str">
        <f>IF(COUNTIF(AH$40:AH$43,AH40)=1,"",1)</f>
        <v/>
      </c>
      <c r="AJ40" t="str">
        <f>IF($AI40=1,Ränge1!Q40,"")</f>
        <v/>
      </c>
      <c r="AK40" t="str">
        <f>IF($AI40=2,Ränge1!Q40,"")</f>
        <v/>
      </c>
      <c r="AL40">
        <f>IF($AI40=1,_xlfn.RANK.EQ(AJ40,AJ$40:AJ$43),0)</f>
        <v>0</v>
      </c>
      <c r="AM40">
        <f>IF($AI40=2,_xlfn.RANK.EQ(AK40,AK$40:AK$43),0)</f>
        <v>0</v>
      </c>
      <c r="AN40" s="19">
        <f>IF(AI40&lt;&gt;"",AH40+AL40+AM40-1,AH40)</f>
        <v>1</v>
      </c>
      <c r="AO40" s="20">
        <f>AN40</f>
        <v>1</v>
      </c>
      <c r="AP40" t="s">
        <v>35</v>
      </c>
    </row>
    <row r="41" spans="1:42" x14ac:dyDescent="0.2">
      <c r="A41" s="14" t="s">
        <v>218</v>
      </c>
      <c r="B41">
        <f>IF(Tabelle!O65&gt;Tabelle!M65,1,0)</f>
        <v>0</v>
      </c>
      <c r="C41">
        <f>IF(Tabelle!M68&lt;Tabelle!O68,1,0)</f>
        <v>0</v>
      </c>
      <c r="D41">
        <f>IF(Tabelle!M70&gt;Tabelle!O70,1,0)</f>
        <v>0</v>
      </c>
      <c r="E41">
        <f>IF(AND(Tabelle!M65=Tabelle!O65,Tabelle!M65&lt;&gt;""),1,0)</f>
        <v>0</v>
      </c>
      <c r="F41">
        <f>IF(AND(Tabelle!M68=Tabelle!O68,Tabelle!M68&lt;&gt;""),1,0)</f>
        <v>0</v>
      </c>
      <c r="G41">
        <f>IF(AND(Tabelle!M70=Tabelle!O70,Tabelle!M70&lt;&gt;""),1,0)</f>
        <v>1</v>
      </c>
      <c r="H41" s="16"/>
      <c r="I41" t="s">
        <v>163</v>
      </c>
      <c r="J41" s="19">
        <f>_xlfn.RANK.EQ(Gruppen!K43,Gruppen!K$42:K$45,0)</f>
        <v>3</v>
      </c>
      <c r="K41">
        <f>IF(COUNTIF(J$40:J$43,J41)=1,"",IF(AND(COUNT(K$40)&gt;0,J$40&lt;&gt;J41),2,1))</f>
        <v>2</v>
      </c>
      <c r="L41" t="str">
        <f>IF(K41=1,Ränge1!M41,"")</f>
        <v/>
      </c>
      <c r="M41">
        <f>IF(K41=2,Ränge1!M41,"")</f>
        <v>-4</v>
      </c>
      <c r="N41">
        <f>IF(K41=1,_xlfn.RANK.EQ(L41,L$40:L$43),0)</f>
        <v>0</v>
      </c>
      <c r="O41">
        <f>IF(K41=2,_xlfn.RANK.EQ(M41,M$40:M$43),0)</f>
        <v>2</v>
      </c>
      <c r="P41" s="19">
        <f>IF(K41&lt;&gt;"",J41+N41+O41-1,J41)</f>
        <v>4</v>
      </c>
      <c r="Q41" t="str">
        <f>IF(COUNTIF(P$40:P$43,P41)=1,"",IF(AND(COUNT(Q$40)&gt;0,P$40&lt;&gt;P41),2,1))</f>
        <v/>
      </c>
      <c r="R41" t="str">
        <f>IF(Q41=1,Ränge1!N41,"")</f>
        <v/>
      </c>
      <c r="S41" t="str">
        <f>IF(Q41=2,Ränge1!N41,"")</f>
        <v/>
      </c>
      <c r="T41">
        <f>IF($Q41=1,_xlfn.RANK.EQ(R41,R$40:R$43),0)</f>
        <v>0</v>
      </c>
      <c r="U41">
        <f>IF($Q41=2,_xlfn.RANK.EQ(S41,S$40:S$43),0)</f>
        <v>0</v>
      </c>
      <c r="V41" s="19">
        <f>IF(Q41&lt;&gt;"",P41+T41+U41-1,P41)</f>
        <v>4</v>
      </c>
      <c r="W41" t="str">
        <f>IF(COUNTIF(V$40:V$43,V41)=1,"",IF(AND(COUNT(W$28)&gt;0,V$28&lt;&gt;V41),2,1))</f>
        <v/>
      </c>
      <c r="X41" t="str">
        <f>IF(W41=1,Ränge1!O41,"")</f>
        <v/>
      </c>
      <c r="Y41" t="str">
        <f>IF(W41=2,Ränge1!O41,"")</f>
        <v/>
      </c>
      <c r="Z41">
        <f>IF($W41=1,_xlfn.RANK.EQ(X41,X$40:X$43),0)</f>
        <v>0</v>
      </c>
      <c r="AA41">
        <f>IF($W41=2,_xlfn.RANK.EQ(Y41,Y$40:Y$43),0)</f>
        <v>0</v>
      </c>
      <c r="AB41" s="19">
        <f>IF(W41&lt;&gt;"",V41+Z41+AA41-1,V41)</f>
        <v>4</v>
      </c>
      <c r="AC41" t="str">
        <f>IF(COUNTIF(AB$40:AB$43,AB41)=1,"",IF(AND(COUNT(AC$40)&gt;0,AB$40&lt;&gt;AB41),2,1))</f>
        <v/>
      </c>
      <c r="AD41" t="str">
        <f>IF(AC41=1,Ränge1!P41,"")</f>
        <v/>
      </c>
      <c r="AE41" t="str">
        <f>IF(AC41=2,Ränge1!P41,"")</f>
        <v/>
      </c>
      <c r="AF41">
        <f>IF($AC41=1,_xlfn.RANK.EQ(AD41,AD$40:AD$43),0)</f>
        <v>0</v>
      </c>
      <c r="AG41">
        <f>IF($AC41=2,_xlfn.RANK.EQ(AE41,AE$40:AE$43),0)</f>
        <v>0</v>
      </c>
      <c r="AH41" s="19">
        <f>IF(AC41&lt;&gt;"",AB41+AF41+AG41-1,AB41)</f>
        <v>4</v>
      </c>
      <c r="AI41" t="str">
        <f>IF(COUNTIF(AH$40:AH$43,AH41)=1,"",IF(AND(COUNT(AI$40)&gt;0,AH$40&lt;&gt;AH41),2,1))</f>
        <v/>
      </c>
      <c r="AJ41" t="str">
        <f>IF($AI41=1,Ränge1!Q41,"")</f>
        <v/>
      </c>
      <c r="AK41" t="str">
        <f>IF($AI41=2,Ränge1!Q41,"")</f>
        <v/>
      </c>
      <c r="AL41">
        <f>IF($AI41=1,_xlfn.RANK.EQ(AJ41,AJ$40:AJ$43),0)</f>
        <v>0</v>
      </c>
      <c r="AM41">
        <f>IF($AI41=2,_xlfn.RANK.EQ(AK41,AK$40:AK$43),0)</f>
        <v>0</v>
      </c>
      <c r="AN41" s="19">
        <f>IF(AI41&lt;&gt;"",AH41+AL41+AM41-1,AH41)</f>
        <v>4</v>
      </c>
      <c r="AO41" s="20">
        <f>AN41</f>
        <v>4</v>
      </c>
      <c r="AP41" t="s">
        <v>163</v>
      </c>
    </row>
    <row r="42" spans="1:42" x14ac:dyDescent="0.2">
      <c r="A42" s="14" t="s">
        <v>219</v>
      </c>
      <c r="B42">
        <f>IF(Tabelle!M66&gt;Tabelle!O66,1,0)</f>
        <v>0</v>
      </c>
      <c r="C42">
        <f>IF(Tabelle!O67&gt;Tabelle!M67,1,0)</f>
        <v>0</v>
      </c>
      <c r="D42">
        <f>IF(Tabelle!O70&gt;Tabelle!M70,1,0)</f>
        <v>0</v>
      </c>
      <c r="E42">
        <f>IF(AND(Tabelle!M66=Tabelle!O66,Tabelle!M66&lt;&gt;""),1,0)</f>
        <v>0</v>
      </c>
      <c r="F42">
        <f>IF(AND(Tabelle!M67=Tabelle!O67,Tabelle!M67&lt;&gt;""),1,0)</f>
        <v>0</v>
      </c>
      <c r="G42">
        <f>IF(AND(Tabelle!M70=Tabelle!O70,Tabelle!M70&lt;&gt;""),1,0)</f>
        <v>1</v>
      </c>
      <c r="H42" s="16"/>
      <c r="I42" t="s">
        <v>164</v>
      </c>
      <c r="J42" s="19">
        <f>_xlfn.RANK.EQ(Gruppen!K44,Gruppen!K$42:K$45,0)</f>
        <v>3</v>
      </c>
      <c r="K42">
        <f>IF(COUNTIF(J$40:J$43,J42)=1,"",IF(AND(COUNT(K$40)&gt;0,J$40&lt;&gt;J42),2,1))</f>
        <v>2</v>
      </c>
      <c r="L42" t="str">
        <f>IF(K42=1,Ränge1!M42,"")</f>
        <v/>
      </c>
      <c r="M42">
        <f>IF(K42=2,Ränge1!M42,"")</f>
        <v>-3</v>
      </c>
      <c r="N42">
        <f>IF(K42=1,_xlfn.RANK.EQ(L42,L$40:L$43),0)</f>
        <v>0</v>
      </c>
      <c r="O42">
        <f>IF(K42=2,_xlfn.RANK.EQ(M42,M$40:M$43),0)</f>
        <v>1</v>
      </c>
      <c r="P42" s="19">
        <f>IF(K42&lt;&gt;"",J42+N42+O42-1,J42)</f>
        <v>3</v>
      </c>
      <c r="Q42" t="str">
        <f>IF(COUNTIF(P$40:P$43,P42)=1,"",IF(AND(COUNT(Q$40)&gt;0,P$40&lt;&gt;P42),2,1))</f>
        <v/>
      </c>
      <c r="R42" t="str">
        <f>IF(Q42=1,Ränge1!N42,"")</f>
        <v/>
      </c>
      <c r="S42" t="str">
        <f>IF(Q42=2,Ränge1!N42,"")</f>
        <v/>
      </c>
      <c r="T42">
        <f>IF($Q42=1,_xlfn.RANK.EQ(R42,R$40:R$43),0)</f>
        <v>0</v>
      </c>
      <c r="U42">
        <f>IF($Q42=2,_xlfn.RANK.EQ(S42,S$40:S$43),0)</f>
        <v>0</v>
      </c>
      <c r="V42" s="19">
        <f>IF(Q42&lt;&gt;"",P42+T42+U42-1,P42)</f>
        <v>3</v>
      </c>
      <c r="W42" t="str">
        <f>IF(COUNTIF(V$40:V$43,V42)=1,"",IF(AND(COUNT(W$28)&gt;0,V$28&lt;&gt;V42),2,1))</f>
        <v/>
      </c>
      <c r="X42" t="str">
        <f>IF(W42=1,Ränge1!O42,"")</f>
        <v/>
      </c>
      <c r="Y42" t="str">
        <f>IF(W42=2,Ränge1!O42,"")</f>
        <v/>
      </c>
      <c r="Z42">
        <f>IF($W42=1,_xlfn.RANK.EQ(X42,X$40:X$43),0)</f>
        <v>0</v>
      </c>
      <c r="AA42">
        <f>IF($W42=2,_xlfn.RANK.EQ(Y42,Y$40:Y$43),0)</f>
        <v>0</v>
      </c>
      <c r="AB42" s="19">
        <f>IF(W42&lt;&gt;"",V42+Z42+AA42-1,V42)</f>
        <v>3</v>
      </c>
      <c r="AC42" t="str">
        <f>IF(COUNTIF(AB$40:AB$43,AB42)=1,"",IF(AND(COUNT(AC$40)&gt;0,AB$40&lt;&gt;AB42),2,1))</f>
        <v/>
      </c>
      <c r="AD42" t="str">
        <f>IF(AC42=1,Ränge1!P42,"")</f>
        <v/>
      </c>
      <c r="AE42" t="str">
        <f>IF(AC42=2,Ränge1!P42,"")</f>
        <v/>
      </c>
      <c r="AF42">
        <f>IF($AC42=1,_xlfn.RANK.EQ(AD42,AD$40:AD$43),0)</f>
        <v>0</v>
      </c>
      <c r="AG42">
        <f>IF($AC42=2,_xlfn.RANK.EQ(AE42,AE$40:AE$43),0)</f>
        <v>0</v>
      </c>
      <c r="AH42" s="19">
        <f>IF(AC42&lt;&gt;"",AB42+AF42+AG42-1,AB42)</f>
        <v>3</v>
      </c>
      <c r="AI42" t="str">
        <f>IF(COUNTIF(AH$40:AH$43,AH42)=1,"",IF(AND(COUNT(AI$40)&gt;0,AH$40&lt;&gt;AH42),2,1))</f>
        <v/>
      </c>
      <c r="AJ42" t="str">
        <f>IF($AI42=1,Ränge1!Q42,"")</f>
        <v/>
      </c>
      <c r="AK42" t="str">
        <f>IF($AI42=2,Ränge1!Q42,"")</f>
        <v/>
      </c>
      <c r="AL42">
        <f>IF($AI42=1,_xlfn.RANK.EQ(AJ42,AJ$40:AJ$43),0)</f>
        <v>0</v>
      </c>
      <c r="AM42">
        <f>IF($AI42=2,_xlfn.RANK.EQ(AK42,AK$40:AK$43),0)</f>
        <v>0</v>
      </c>
      <c r="AN42" s="19">
        <f>IF(AI42&lt;&gt;"",AH42+AL42+AM42-1,AH42)</f>
        <v>3</v>
      </c>
      <c r="AO42" s="20">
        <f>AN42</f>
        <v>3</v>
      </c>
      <c r="AP42" t="s">
        <v>164</v>
      </c>
    </row>
    <row r="43" spans="1:42" x14ac:dyDescent="0.2">
      <c r="A43" s="14" t="s">
        <v>220</v>
      </c>
      <c r="B43">
        <f>IF(Tabelle!O66&gt;Tabelle!M66,1,0)</f>
        <v>1</v>
      </c>
      <c r="C43">
        <f>IF(Tabelle!O68&lt;Tabelle!M68,1,0)</f>
        <v>1</v>
      </c>
      <c r="D43">
        <f>IF(Tabelle!M69&gt;Tabelle!O69,1,0)</f>
        <v>0</v>
      </c>
      <c r="E43">
        <f>IF(AND(Tabelle!M66=Tabelle!O66,Tabelle!M66&lt;&gt;""),1,0)</f>
        <v>0</v>
      </c>
      <c r="F43">
        <f>IF(AND(Tabelle!M68=Tabelle!O68,Tabelle!M68&lt;&gt;""),1,0)</f>
        <v>0</v>
      </c>
      <c r="G43">
        <f>IF(AND(Tabelle!M69=Tabelle!O69,Tabelle!M69&lt;&gt;""),1,0)</f>
        <v>1</v>
      </c>
      <c r="H43" s="16"/>
      <c r="I43" t="s">
        <v>18</v>
      </c>
      <c r="J43" s="19">
        <f>_xlfn.RANK.EQ(Gruppen!K45,Gruppen!K$42:K$45,0)</f>
        <v>1</v>
      </c>
      <c r="K43">
        <f>IF(COUNTIF(J$40:J$43,J43)=1,"",IF(AND(COUNT(K$40)&gt;0,J$40&lt;&gt;J43),2,1))</f>
        <v>1</v>
      </c>
      <c r="L43">
        <f>IF(K43=1,Ränge1!M43,"")</f>
        <v>2</v>
      </c>
      <c r="M43" t="str">
        <f>IF(K43=2,Ränge1!M43,"")</f>
        <v/>
      </c>
      <c r="N43">
        <f>IF(K43=1,_xlfn.RANK.EQ(L43,L$40:L$43),0)</f>
        <v>2</v>
      </c>
      <c r="O43">
        <f>IF(K43=2,_xlfn.RANK.EQ(M43,M$40:M$43),0)</f>
        <v>0</v>
      </c>
      <c r="P43" s="19">
        <f>IF(K43&lt;&gt;"",J43+N43+O43-1,J43)</f>
        <v>2</v>
      </c>
      <c r="Q43" t="str">
        <f>IF(COUNTIF(P$40:P$43,P43)=1,"",IF(AND(COUNT(Q$40)&gt;0,P$40&lt;&gt;P43),2,1))</f>
        <v/>
      </c>
      <c r="R43" t="str">
        <f>IF(Q43=1,Ränge1!N43,"")</f>
        <v/>
      </c>
      <c r="S43" t="str">
        <f>IF(Q43=2,Ränge1!N43,"")</f>
        <v/>
      </c>
      <c r="T43">
        <f>IF($Q43=1,_xlfn.RANK.EQ(R43,R$40:R$43),0)</f>
        <v>0</v>
      </c>
      <c r="U43">
        <f>IF($Q43=2,_xlfn.RANK.EQ(S43,S$40:S$43),0)</f>
        <v>0</v>
      </c>
      <c r="V43" s="19">
        <f>IF(Q43&lt;&gt;"",P43+T43+U43-1,P43)</f>
        <v>2</v>
      </c>
      <c r="W43" t="str">
        <f>IF(COUNTIF(V$40:V$43,V43)=1,"",IF(AND(COUNT(W$28)&gt;0,V$28&lt;&gt;V43),2,1))</f>
        <v/>
      </c>
      <c r="X43" t="str">
        <f>IF(W43=1,Ränge1!O43,"")</f>
        <v/>
      </c>
      <c r="Y43" t="str">
        <f>IF(W43=2,Ränge1!O43,"")</f>
        <v/>
      </c>
      <c r="Z43">
        <f>IF($W43=1,_xlfn.RANK.EQ(X43,X$40:X$43),0)</f>
        <v>0</v>
      </c>
      <c r="AA43">
        <f>IF($W43=2,_xlfn.RANK.EQ(Y43,Y$40:Y$43),0)</f>
        <v>0</v>
      </c>
      <c r="AB43" s="19">
        <f>IF(W43&lt;&gt;"",V43+Z43+AA43-1,V43)</f>
        <v>2</v>
      </c>
      <c r="AC43" t="str">
        <f>IF(COUNTIF(AB$40:AB$43,AB43)=1,"",IF(AND(COUNT(AC$40)&gt;0,AB$40&lt;&gt;AB43),2,1))</f>
        <v/>
      </c>
      <c r="AD43" t="str">
        <f>IF(AC43=1,Ränge1!P43,"")</f>
        <v/>
      </c>
      <c r="AE43" t="str">
        <f>IF(AC43=2,Ränge1!P43,"")</f>
        <v/>
      </c>
      <c r="AF43">
        <f>IF($AC43=1,_xlfn.RANK.EQ(AD43,AD$40:AD$43),0)</f>
        <v>0</v>
      </c>
      <c r="AG43">
        <f>IF($AC43=2,_xlfn.RANK.EQ(AE43,AE$40:AE$43),0)</f>
        <v>0</v>
      </c>
      <c r="AH43" s="19">
        <f>IF(AC43&lt;&gt;"",AB43+AF43+AG43-1,AB43)</f>
        <v>2</v>
      </c>
      <c r="AI43" t="str">
        <f>IF(COUNTIF(AH$40:AH$43,AH43)=1,"",IF(AND(COUNT(AI$40)&gt;0,AH$40&lt;&gt;AH43),2,1))</f>
        <v/>
      </c>
      <c r="AJ43" t="str">
        <f>IF($AI43=1,Ränge1!Q43,"")</f>
        <v/>
      </c>
      <c r="AK43" t="str">
        <f>IF($AI43=2,Ränge1!Q43,"")</f>
        <v/>
      </c>
      <c r="AL43">
        <f>IF($AI43=1,_xlfn.RANK.EQ(AJ43,AJ$40:AJ$43),0)</f>
        <v>0</v>
      </c>
      <c r="AM43">
        <f>IF($AI43=2,_xlfn.RANK.EQ(AK43,AK$40:AK$43),0)</f>
        <v>0</v>
      </c>
      <c r="AN43" s="19">
        <f>IF(AI43&lt;&gt;"",AH43+AL43+AM43-1,AH43)</f>
        <v>2</v>
      </c>
      <c r="AO43" s="20">
        <f>AN43</f>
        <v>2</v>
      </c>
      <c r="AP43" t="s">
        <v>18</v>
      </c>
    </row>
    <row r="44" spans="1:42" x14ac:dyDescent="0.2">
      <c r="A44" s="14"/>
      <c r="G44" s="15"/>
      <c r="H44" s="16"/>
    </row>
    <row r="45" spans="1:42" x14ac:dyDescent="0.2">
      <c r="A45" s="14"/>
      <c r="G45" s="15"/>
      <c r="H45" s="16"/>
    </row>
    <row r="46" spans="1:42" x14ac:dyDescent="0.2">
      <c r="A46" s="14" t="s">
        <v>221</v>
      </c>
      <c r="B46">
        <f>IF(Tabelle!AD66&gt;Tabelle!AF66,1,0)</f>
        <v>0</v>
      </c>
      <c r="C46">
        <f>IF(Tabelle!AD68&gt;Tabelle!AF68,1,0)</f>
        <v>0</v>
      </c>
      <c r="D46">
        <f>IF(Tabelle!AF69&gt;Tabelle!AD69,1,0)</f>
        <v>1</v>
      </c>
      <c r="E46">
        <f>IF(AND(Tabelle!AD66=Tabelle!AF66,Tabelle!AD66&lt;&gt;""),1,0)</f>
        <v>1</v>
      </c>
      <c r="F46">
        <f>IF(AND(Tabelle!AD68=Tabelle!AF68,Tabelle!AD68&lt;&gt;""),1,0)</f>
        <v>0</v>
      </c>
      <c r="G46">
        <f>IF(AND(Tabelle!AD69=Tabelle!AF69,Tabelle!AD69&lt;&gt;""),1,0)</f>
        <v>0</v>
      </c>
      <c r="H46" s="16"/>
      <c r="I46" t="s">
        <v>29</v>
      </c>
      <c r="J46" s="19">
        <f>_xlfn.RANK.EQ(Gruppen!K48,Gruppen!K$48:K$51,0)</f>
        <v>2</v>
      </c>
      <c r="K46" s="21">
        <f>IF(COUNTIF(J$46:J$49,J46)=1,"",1)</f>
        <v>1</v>
      </c>
      <c r="L46">
        <f>IF(K46=1,Ränge1!M46,"")</f>
        <v>0</v>
      </c>
      <c r="M46" t="str">
        <f>IF(K46=2,Ränge1!M46,"")</f>
        <v/>
      </c>
      <c r="N46">
        <f>IF(K46=1,_xlfn.RANK.EQ(L46,L$46:L$49),0)</f>
        <v>2</v>
      </c>
      <c r="O46">
        <f>IF(K46=2,_xlfn.RANK.EQ(M46,M$46:M$49),0)</f>
        <v>0</v>
      </c>
      <c r="P46" s="19">
        <f>IF(K46&lt;&gt;"",J46+N46+O46-1,J46)</f>
        <v>3</v>
      </c>
      <c r="Q46" t="str">
        <f>IF(COUNTIF(P$46:P$49,P46)=1,"",1)</f>
        <v/>
      </c>
      <c r="R46" t="str">
        <f>IF(Q46=1,Ränge1!N46,"")</f>
        <v/>
      </c>
      <c r="S46" t="str">
        <f>IF(Q46=2,Ränge1!N46,"")</f>
        <v/>
      </c>
      <c r="T46">
        <f>IF($Q46=1,_xlfn.RANK.EQ(R46,R$46:R$49),0)</f>
        <v>0</v>
      </c>
      <c r="U46">
        <f>IF($Q46=2,_xlfn.RANK.EQ(S46,S$46:S$49),0)</f>
        <v>0</v>
      </c>
      <c r="V46" s="19">
        <f>IF(Q46&lt;&gt;"",P46+T46+U46-1,P46)</f>
        <v>3</v>
      </c>
      <c r="W46" t="str">
        <f>IF(COUNTIF(V$46:V$49,V46)=1,"",1)</f>
        <v/>
      </c>
      <c r="X46" t="str">
        <f>IF(W46=1,Ränge1!O46,"")</f>
        <v/>
      </c>
      <c r="Y46" t="str">
        <f>IF(W46=2,Ränge1!O46,"")</f>
        <v/>
      </c>
      <c r="Z46">
        <f>IF($W46=1,_xlfn.RANK.EQ(X46,X$46:X$49),0)</f>
        <v>0</v>
      </c>
      <c r="AA46">
        <f>IF($W46=2,_xlfn.RANK.EQ(Y46,Y$46:Y$49),0)</f>
        <v>0</v>
      </c>
      <c r="AB46" s="19">
        <f>IF(W46&lt;&gt;"",V46+Z46+AA46-1,V46)</f>
        <v>3</v>
      </c>
      <c r="AC46" t="str">
        <f>IF(COUNTIF(AB$46:AB$49,AB46)=1,"",1)</f>
        <v/>
      </c>
      <c r="AD46" t="str">
        <f>IF(AC46=1,Ränge1!P46,"")</f>
        <v/>
      </c>
      <c r="AE46" t="str">
        <f>IF(AC46=2,Ränge1!P46,"")</f>
        <v/>
      </c>
      <c r="AF46">
        <f>IF($AC46=1,_xlfn.RANK.EQ(AD46,AD$46:AD$49),0)</f>
        <v>0</v>
      </c>
      <c r="AG46">
        <f>IF($AC46=2,_xlfn.RANK.EQ(AE46,AE$46:AE$49),0)</f>
        <v>0</v>
      </c>
      <c r="AH46" s="19">
        <f>IF(AC46&lt;&gt;"",AB46+AF46+AG46-1,AB46)</f>
        <v>3</v>
      </c>
      <c r="AI46" t="str">
        <f>IF(COUNTIF(AH$46:AH$49,AH46)=1,"",1)</f>
        <v/>
      </c>
      <c r="AJ46" t="str">
        <f>IF($AI46=1,Ränge1!Q46,"")</f>
        <v/>
      </c>
      <c r="AK46" t="str">
        <f>IF($AI46=2,Ränge1!Q46,"")</f>
        <v/>
      </c>
      <c r="AL46">
        <f>IF($AI46=1,_xlfn.RANK.EQ(AJ46,AJ$46:AJ$49),0)</f>
        <v>0</v>
      </c>
      <c r="AM46">
        <f>IF($AI46=2,_xlfn.RANK.EQ(AK46,AK$46:AK$49),0)</f>
        <v>0</v>
      </c>
      <c r="AN46" s="19">
        <f>IF(AI46&lt;&gt;"",AH46+AL46+AM46-1,AH46)</f>
        <v>3</v>
      </c>
      <c r="AO46" s="20">
        <f>AN46</f>
        <v>3</v>
      </c>
      <c r="AP46" t="s">
        <v>29</v>
      </c>
    </row>
    <row r="47" spans="1:42" x14ac:dyDescent="0.2">
      <c r="A47" s="14" t="s">
        <v>222</v>
      </c>
      <c r="B47">
        <f>IF(Tabelle!AF66&gt;Tabelle!AD66,1,0)</f>
        <v>0</v>
      </c>
      <c r="C47">
        <f>IF(Tabelle!AD67&lt;Tabelle!AF67,1,0)</f>
        <v>1</v>
      </c>
      <c r="D47">
        <f>IF(Tabelle!AD70&gt;Tabelle!AF70,1,0)</f>
        <v>0</v>
      </c>
      <c r="E47">
        <f>IF(AND(Tabelle!AD66=Tabelle!AF66,Tabelle!AD66&lt;&gt;""),1,0)</f>
        <v>1</v>
      </c>
      <c r="F47">
        <f>IF(AND(Tabelle!AD67=Tabelle!AF67,Tabelle!AD67&lt;&gt;""),1,0)</f>
        <v>0</v>
      </c>
      <c r="G47">
        <f>IF(AND(Tabelle!AD70=Tabelle!AF70,Tabelle!AD70&lt;&gt;""),1,0)</f>
        <v>0</v>
      </c>
      <c r="H47" s="16"/>
      <c r="I47" t="s">
        <v>165</v>
      </c>
      <c r="J47" s="19">
        <f>_xlfn.RANK.EQ(Gruppen!K49,Gruppen!K$48:K$51,0)</f>
        <v>2</v>
      </c>
      <c r="K47">
        <f>IF(COUNTIF(J$46:J$49,J47)=1,"",IF(AND(COUNT(K$46)&gt;0,J$46&lt;&gt;J47),2,1))</f>
        <v>1</v>
      </c>
      <c r="L47">
        <f>IF(K47=1,Ränge1!M47,"")</f>
        <v>1</v>
      </c>
      <c r="M47" t="str">
        <f>IF(K47=2,Ränge1!M47,"")</f>
        <v/>
      </c>
      <c r="N47">
        <f>IF(K47=1,_xlfn.RANK.EQ(L47,L$46:L$49),0)</f>
        <v>1</v>
      </c>
      <c r="O47">
        <f>IF(K47=2,_xlfn.RANK.EQ(M47,M$46:M$49),0)</f>
        <v>0</v>
      </c>
      <c r="P47" s="19">
        <f>IF(K47&lt;&gt;"",J47+N47+O47-1,J47)</f>
        <v>2</v>
      </c>
      <c r="Q47" t="str">
        <f>IF(COUNTIF(P$46:P$49,P47)=1,"",IF(AND(COUNT(Q$46)&gt;0,P$46&lt;&gt;P47),2,1))</f>
        <v/>
      </c>
      <c r="R47" t="str">
        <f>IF(Q47=1,Ränge1!N47,"")</f>
        <v/>
      </c>
      <c r="S47" t="str">
        <f>IF(Q47=2,Ränge1!N47,"")</f>
        <v/>
      </c>
      <c r="T47">
        <f>IF($Q47=1,_xlfn.RANK.EQ(R47,R$46:R$49),0)</f>
        <v>0</v>
      </c>
      <c r="U47">
        <f>IF($Q47=2,_xlfn.RANK.EQ(S47,S$46:S$49),0)</f>
        <v>0</v>
      </c>
      <c r="V47" s="19">
        <f>IF(Q47&lt;&gt;"",P47+T47+U47-1,P47)</f>
        <v>2</v>
      </c>
      <c r="W47" t="str">
        <f>IF(COUNTIF(V$46:V$49,V47)=1,"",IF(AND(COUNT(W$46)&gt;0,V$46&lt;&gt;V47),2,1))</f>
        <v/>
      </c>
      <c r="X47" t="str">
        <f>IF(W47=1,Ränge1!O47,"")</f>
        <v/>
      </c>
      <c r="Y47" t="str">
        <f>IF(W47=2,Ränge1!O47,"")</f>
        <v/>
      </c>
      <c r="Z47">
        <f>IF($W47=1,_xlfn.RANK.EQ(X47,X$46:X$49),0)</f>
        <v>0</v>
      </c>
      <c r="AA47">
        <f>IF($W47=2,_xlfn.RANK.EQ(Y47,Y$46:Y$49),0)</f>
        <v>0</v>
      </c>
      <c r="AB47" s="19">
        <f>IF(W47&lt;&gt;"",V47+Z47+AA47-1,V47)</f>
        <v>2</v>
      </c>
      <c r="AC47" t="str">
        <f>IF(COUNTIF(AB$46:AB$49,AB47)=1,"",IF(AND(COUNT(AC$46)&gt;0,AB$46&lt;&gt;AB47),2,1))</f>
        <v/>
      </c>
      <c r="AD47" t="str">
        <f>IF(AC47=1,Ränge1!P47,"")</f>
        <v/>
      </c>
      <c r="AE47" t="str">
        <f>IF(AC47=2,Ränge1!P47,"")</f>
        <v/>
      </c>
      <c r="AF47">
        <f>IF($AC47=1,_xlfn.RANK.EQ(AD47,AD$46:AD$49),0)</f>
        <v>0</v>
      </c>
      <c r="AG47">
        <f>IF($AC47=2,_xlfn.RANK.EQ(AE47,AE$46:AE$49),0)</f>
        <v>0</v>
      </c>
      <c r="AH47" s="19">
        <f>IF(AC47&lt;&gt;"",AB47+AF47+AG47-1,AB47)</f>
        <v>2</v>
      </c>
      <c r="AI47" t="str">
        <f>IF(COUNTIF(AH$46:AH$49,AH47)=1,"",IF(AND(COUNT(AI$46)&gt;0,AH$46&lt;&gt;AH47),2,1))</f>
        <v/>
      </c>
      <c r="AJ47" t="str">
        <f>IF($AI47=1,Ränge1!Q47,"")</f>
        <v/>
      </c>
      <c r="AK47" t="str">
        <f>IF($AI47=2,Ränge1!Q47,"")</f>
        <v/>
      </c>
      <c r="AL47">
        <f>IF($AI47=1,_xlfn.RANK.EQ(AJ47,AJ$46:AJ$49),0)</f>
        <v>0</v>
      </c>
      <c r="AM47">
        <f>IF($AI47=2,_xlfn.RANK.EQ(AK47,AK$46:AK$49),0)</f>
        <v>0</v>
      </c>
      <c r="AN47" s="19">
        <f>IF(AI47&lt;&gt;"",AH47+AL47+AM47-1,AH47)</f>
        <v>2</v>
      </c>
      <c r="AO47" s="20">
        <f>AN47</f>
        <v>2</v>
      </c>
      <c r="AP47" t="s">
        <v>165</v>
      </c>
    </row>
    <row r="48" spans="1:42" x14ac:dyDescent="0.2">
      <c r="A48" s="14" t="s">
        <v>223</v>
      </c>
      <c r="B48">
        <f>IF(Tabelle!AD65&gt;Tabelle!AF65,1,0)</f>
        <v>1</v>
      </c>
      <c r="C48">
        <f>IF(Tabelle!AF68&gt;Tabelle!AD68,1,0)</f>
        <v>1</v>
      </c>
      <c r="D48">
        <f>IF(Tabelle!AF70&gt;Tabelle!AD70,1,0)</f>
        <v>1</v>
      </c>
      <c r="E48">
        <f>IF(AND(Tabelle!AD65=Tabelle!AF65,Tabelle!AD65&lt;&gt;""),1,0)</f>
        <v>0</v>
      </c>
      <c r="F48">
        <f>IF(AND(Tabelle!AD68=Tabelle!AF68,Tabelle!AD68&lt;&gt;""),1,0)</f>
        <v>0</v>
      </c>
      <c r="G48">
        <f>IF(AND(Tabelle!AD70=Tabelle!AF70,Tabelle!AD70&lt;&gt;""),1,0)</f>
        <v>0</v>
      </c>
      <c r="H48" s="16"/>
      <c r="I48" t="s">
        <v>166</v>
      </c>
      <c r="J48" s="19">
        <f>_xlfn.RANK.EQ(Gruppen!K50,Gruppen!K$48:K$51,0)</f>
        <v>1</v>
      </c>
      <c r="K48" t="str">
        <f>IF(COUNTIF(J$46:J$49,J48)=1,"",IF(AND(COUNT(K$46)&gt;0,J$46&lt;&gt;J48),2,1))</f>
        <v/>
      </c>
      <c r="L48" t="str">
        <f>IF(K48=1,Ränge1!M48,"")</f>
        <v/>
      </c>
      <c r="M48" t="str">
        <f>IF(K48=2,Ränge1!M48,"")</f>
        <v/>
      </c>
      <c r="N48">
        <f>IF(K48=1,_xlfn.RANK.EQ(L48,L$46:L$49),0)</f>
        <v>0</v>
      </c>
      <c r="O48">
        <f>IF(K48=2,_xlfn.RANK.EQ(M48,M$46:M$49),0)</f>
        <v>0</v>
      </c>
      <c r="P48" s="19">
        <f>IF(K48&lt;&gt;"",J48+N48+O48-1,J48)</f>
        <v>1</v>
      </c>
      <c r="Q48" t="str">
        <f>IF(COUNTIF(P$46:P$49,P48)=1,"",IF(AND(COUNT(Q$46)&gt;0,P$46&lt;&gt;P48),2,1))</f>
        <v/>
      </c>
      <c r="R48" t="str">
        <f>IF(Q48=1,Ränge1!N48,"")</f>
        <v/>
      </c>
      <c r="S48" t="str">
        <f>IF(Q48=2,Ränge1!N48,"")</f>
        <v/>
      </c>
      <c r="T48">
        <f>IF($Q48=1,_xlfn.RANK.EQ(R48,R$46:R$49),0)</f>
        <v>0</v>
      </c>
      <c r="U48">
        <f>IF($Q48=2,_xlfn.RANK.EQ(S48,S$46:S$49),0)</f>
        <v>0</v>
      </c>
      <c r="V48" s="19">
        <f>IF(Q48&lt;&gt;"",P48+T48+U48-1,P48)</f>
        <v>1</v>
      </c>
      <c r="W48" t="str">
        <f>IF(COUNTIF(V$46:V$49,V48)=1,"",IF(AND(COUNT(W$46)&gt;0,V$46&lt;&gt;V48),2,1))</f>
        <v/>
      </c>
      <c r="X48" t="str">
        <f>IF(W48=1,Ränge1!O48,"")</f>
        <v/>
      </c>
      <c r="Y48" t="str">
        <f>IF(W48=2,Ränge1!O48,"")</f>
        <v/>
      </c>
      <c r="Z48">
        <f>IF($W48=1,_xlfn.RANK.EQ(X48,X$46:X$49),0)</f>
        <v>0</v>
      </c>
      <c r="AA48">
        <f>IF($W48=2,_xlfn.RANK.EQ(Y48,Y$46:Y$49),0)</f>
        <v>0</v>
      </c>
      <c r="AB48" s="19">
        <f>IF(W48&lt;&gt;"",V48+Z48+AA48-1,V48)</f>
        <v>1</v>
      </c>
      <c r="AC48" t="str">
        <f>IF(COUNTIF(AB$46:AB$49,AB48)=1,"",IF(AND(COUNT(AC$46)&gt;0,AB$46&lt;&gt;AB48),2,1))</f>
        <v/>
      </c>
      <c r="AD48" t="str">
        <f>IF(AC48=1,Ränge1!P48,"")</f>
        <v/>
      </c>
      <c r="AE48" t="str">
        <f>IF(AC48=2,Ränge1!P48,"")</f>
        <v/>
      </c>
      <c r="AF48">
        <f>IF($AC48=1,_xlfn.RANK.EQ(AD48,AD$46:AD$49),0)</f>
        <v>0</v>
      </c>
      <c r="AG48">
        <f>IF($AC48=2,_xlfn.RANK.EQ(AE48,AE$46:AE$49),0)</f>
        <v>0</v>
      </c>
      <c r="AH48" s="19">
        <f>IF(AC48&lt;&gt;"",AB48+AF48+AG48-1,AB48)</f>
        <v>1</v>
      </c>
      <c r="AI48" t="str">
        <f>IF(COUNTIF(AH$46:AH$49,AH48)=1,"",IF(AND(COUNT(AI$46)&gt;0,AH$46&lt;&gt;AH48),2,1))</f>
        <v/>
      </c>
      <c r="AJ48" t="str">
        <f>IF($AI48=1,Ränge1!Q48,"")</f>
        <v/>
      </c>
      <c r="AK48" t="str">
        <f>IF($AI48=2,Ränge1!Q48,"")</f>
        <v/>
      </c>
      <c r="AL48">
        <f>IF($AI48=1,_xlfn.RANK.EQ(AJ48,AJ$46:AJ$49),0)</f>
        <v>0</v>
      </c>
      <c r="AM48">
        <f>IF($AI48=2,_xlfn.RANK.EQ(AK48,AK$46:AK$49),0)</f>
        <v>0</v>
      </c>
      <c r="AN48" s="19">
        <f>IF(AI48&lt;&gt;"",AH48+AL48+AM48-1,AH48)</f>
        <v>1</v>
      </c>
      <c r="AO48" s="20">
        <f>AN48</f>
        <v>1</v>
      </c>
      <c r="AP48" t="s">
        <v>166</v>
      </c>
    </row>
    <row r="49" spans="1:42" ht="16" thickBot="1" x14ac:dyDescent="0.25">
      <c r="A49" s="24" t="s">
        <v>224</v>
      </c>
      <c r="B49" s="25">
        <f>IF(Tabelle!AF65&gt;Tabelle!AD65,1,0)</f>
        <v>0</v>
      </c>
      <c r="C49" s="25">
        <f>IF(Tabelle!AF67&lt;Tabelle!AD67,1,0)</f>
        <v>0</v>
      </c>
      <c r="D49" s="25">
        <f>IF(Tabelle!AD69&gt;Tabelle!AF69,1,0)</f>
        <v>0</v>
      </c>
      <c r="E49" s="25">
        <f>IF(AND(Tabelle!AD65=Tabelle!AF65,Tabelle!AD65&lt;&gt;""),1,0)</f>
        <v>0</v>
      </c>
      <c r="F49" s="25">
        <f>IF(AND(Tabelle!AD67=Tabelle!AF67,Tabelle!AD67&lt;&gt;""),1,0)</f>
        <v>0</v>
      </c>
      <c r="G49" s="25">
        <f>IF(AND(Tabelle!AD69=Tabelle!AF69,Tabelle!AD69&lt;&gt;""),1,0)</f>
        <v>0</v>
      </c>
      <c r="H49" s="16"/>
      <c r="I49" t="s">
        <v>167</v>
      </c>
      <c r="J49" s="19">
        <f>_xlfn.RANK.EQ(Gruppen!K51,Gruppen!K$48:K$51,0)</f>
        <v>4</v>
      </c>
      <c r="K49" t="str">
        <f>IF(COUNTIF(J$46:J$49,J49)=1,"",IF(AND(COUNT(K$46)&gt;0,J$46&lt;&gt;J49),2,1))</f>
        <v/>
      </c>
      <c r="L49" t="str">
        <f>IF(K49=1,Ränge1!M49,"")</f>
        <v/>
      </c>
      <c r="M49" t="str">
        <f>IF(K49=2,Ränge1!M49,"")</f>
        <v/>
      </c>
      <c r="N49">
        <f>IF(K49=1,_xlfn.RANK.EQ(L49,L$46:L$49),0)</f>
        <v>0</v>
      </c>
      <c r="O49">
        <f>IF(K49=2,_xlfn.RANK.EQ(M49,M$46:M$49),0)</f>
        <v>0</v>
      </c>
      <c r="P49" s="19">
        <f>IF(K49&lt;&gt;"",J49+N49+O49-1,J49)</f>
        <v>4</v>
      </c>
      <c r="Q49" t="str">
        <f>IF(COUNTIF(P$46:P$49,P49)=1,"",IF(AND(COUNT(Q$46)&gt;0,P$46&lt;&gt;P49),2,1))</f>
        <v/>
      </c>
      <c r="R49" t="str">
        <f>IF(Q49=1,Ränge1!N49,"")</f>
        <v/>
      </c>
      <c r="S49" t="str">
        <f>IF(Q49=2,Ränge1!N49,"")</f>
        <v/>
      </c>
      <c r="T49">
        <f>IF($Q49=1,_xlfn.RANK.EQ(R49,R$46:R$49),0)</f>
        <v>0</v>
      </c>
      <c r="U49">
        <f>IF($Q49=2,_xlfn.RANK.EQ(S49,S$46:S$49),0)</f>
        <v>0</v>
      </c>
      <c r="V49" s="19">
        <f>IF(Q49&lt;&gt;"",P49+T49+U49-1,P49)</f>
        <v>4</v>
      </c>
      <c r="W49" t="str">
        <f>IF(COUNTIF(V$46:V$49,V49)=1,"",IF(AND(COUNT(W$46)&gt;0,V$46&lt;&gt;V49),2,1))</f>
        <v/>
      </c>
      <c r="X49" t="str">
        <f>IF(W49=1,Ränge1!O49,"")</f>
        <v/>
      </c>
      <c r="Y49" t="str">
        <f>IF(W49=2,Ränge1!O49,"")</f>
        <v/>
      </c>
      <c r="Z49">
        <f>IF($W49=1,_xlfn.RANK.EQ(X49,X$46:X$49),0)</f>
        <v>0</v>
      </c>
      <c r="AA49">
        <f>IF($W49=2,_xlfn.RANK.EQ(Y49,Y$46:Y$49),0)</f>
        <v>0</v>
      </c>
      <c r="AB49" s="19">
        <f>IF(W49&lt;&gt;"",V49+Z49+AA49-1,V49)</f>
        <v>4</v>
      </c>
      <c r="AC49" t="str">
        <f>IF(COUNTIF(AB$46:AB$49,AB49)=1,"",IF(AND(COUNT(AC$46)&gt;0,AB$46&lt;&gt;AB49),2,1))</f>
        <v/>
      </c>
      <c r="AD49" t="str">
        <f>IF(AC49=1,Ränge1!P49,"")</f>
        <v/>
      </c>
      <c r="AE49" t="str">
        <f>IF(AC49=2,Ränge1!P49,"")</f>
        <v/>
      </c>
      <c r="AF49">
        <f>IF($AC49=1,_xlfn.RANK.EQ(AD49,AD$46:AD$49),0)</f>
        <v>0</v>
      </c>
      <c r="AG49">
        <f>IF($AC49=2,_xlfn.RANK.EQ(AE49,AE$46:AE$49),0)</f>
        <v>0</v>
      </c>
      <c r="AH49" s="19">
        <f>IF(AC49&lt;&gt;"",AB49+AF49+AG49-1,AB49)</f>
        <v>4</v>
      </c>
      <c r="AI49" t="str">
        <f>IF(COUNTIF(AH$46:AH$49,AH49)=1,"",IF(AND(COUNT(AI$46)&gt;0,AH$46&lt;&gt;AH49),2,1))</f>
        <v/>
      </c>
      <c r="AJ49" t="str">
        <f>IF($AI49=1,Ränge1!Q49,"")</f>
        <v/>
      </c>
      <c r="AK49" t="str">
        <f>IF($AI49=2,Ränge1!Q49,"")</f>
        <v/>
      </c>
      <c r="AL49">
        <f>IF($AI49=1,_xlfn.RANK.EQ(AJ49,AJ$46:AJ$49),0)</f>
        <v>0</v>
      </c>
      <c r="AM49">
        <f>IF($AI49=2,_xlfn.RANK.EQ(AK49,AK$46:AK$49),0)</f>
        <v>0</v>
      </c>
      <c r="AN49" s="19">
        <f>IF(AI49&lt;&gt;"",AH49+AL49+AM49-1,AH49)</f>
        <v>4</v>
      </c>
      <c r="AO49" s="20">
        <f>AN49</f>
        <v>4</v>
      </c>
      <c r="AP49" t="s">
        <v>167</v>
      </c>
    </row>
  </sheetData>
  <sheetProtection selectLockedCells="1" selectUnlockedCells="1"/>
  <mergeCells count="1">
    <mergeCell ref="B2:D2"/>
  </mergeCells>
  <pageMargins left="0.70000000000000007" right="0.70000000000000007" top="0.78740157500000008" bottom="0.78740157500000008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21"/>
  <sheetViews>
    <sheetView workbookViewId="0">
      <selection activeCell="C20" sqref="C20"/>
    </sheetView>
  </sheetViews>
  <sheetFormatPr baseColWidth="10" defaultColWidth="11.5" defaultRowHeight="15" x14ac:dyDescent="0.2"/>
  <cols>
    <col min="1" max="1" width="11.5" customWidth="1"/>
    <col min="2" max="2" width="13.5" customWidth="1"/>
    <col min="3" max="3" width="11.5" customWidth="1"/>
  </cols>
  <sheetData>
    <row r="2" spans="1:24" x14ac:dyDescent="0.2">
      <c r="B2" t="s">
        <v>41</v>
      </c>
      <c r="H2" t="s">
        <v>116</v>
      </c>
      <c r="I2">
        <f>IF(COUNTIF(H$5:H$10,H5)&gt;1,H5,IF(COUNTIF(H$5:H$10,H6)&gt;1,H6,IF(COUNTIF(H$5:H$10,H7)&gt;1,H7,IF(COUNTIF(H$5:H$10,H8)&gt;1,H8,IF(COUNTIF(H$5:H$10,H9)&gt;1,H9,IF(COUNTIF(H$5:H$10,H10)&gt;1,H10,""))))))</f>
        <v>2</v>
      </c>
      <c r="J2" t="str">
        <f>IF(AND(COUNTIF(H$5:H$10,H6)&gt;1,H6&lt;&gt;I2),H6,IF(AND(COUNTIF(H$5:H$10,H7)&gt;1,H7&lt;&gt;I2),H7,IF(AND(COUNTIF(H$5:H$10,H8)&gt;1,H8&lt;&gt;I2),H8,IF(AND(COUNTIF(H$5:H$10,H9)&gt;1,H9&lt;&gt;I2),H9,IF(AND(COUNTIF(H$5:H$10,H10)&gt;1,H10&lt;&gt;I2),H10,"")))))</f>
        <v/>
      </c>
      <c r="K2" t="str">
        <f>IF(AND(COUNTIF(H$5:H$10,H7)&gt;1,H7&lt;&gt;I2,H7&lt;&gt;J2),H7,IF(AND(COUNTIF(H$5:H$10,H8)&gt;1,H8&lt;&gt;I2,H8&lt;&gt;J2),H8,IF(AND(COUNTIF(H$5:H$10,H9)&gt;1,H9&lt;&gt;I2,H9&lt;&gt;J2),H9,IF(AND(COUNTIF(H$5:H$10,H10)&gt;1,H10&lt;&gt;I2,H10&lt;&gt;J2),H10,""))))</f>
        <v/>
      </c>
      <c r="P2" t="s">
        <v>116</v>
      </c>
      <c r="Q2">
        <f>IF(COUNTIF(P$5:P$10,P5)&gt;1,P5,IF(COUNTIF(P$5:P$10,P6)&gt;1,P6,IF(COUNTIF(P$5:P$10,P7)&gt;1,P7,IF(COUNTIF(P$5:P$10,P8)&gt;1,P8,IF(COUNTIF(P$5:P$10,P9)&gt;1,P9,IF(COUNTIF(P$5:P$10,P10)&gt;1,P10,""))))))</f>
        <v>4</v>
      </c>
      <c r="R2">
        <f>IF(AND(COUNTIF(P$5:P$10,P6)&gt;1,P6&lt;&gt;Q2),P6,IF(AND(COUNTIF(P$5:P$10,P7)&gt;1,P7&lt;&gt;Q2),P7,IF(AND(COUNTIF(P$5:P$10,P8)&gt;1,P8&lt;&gt;Q2),P8,IF(AND(COUNTIF(P$5:P$10,P9)&gt;1,P9&lt;&gt;Q2),P9,IF(AND(COUNTIF(P$5:P$10,P10)&gt;1,P10&lt;&gt;Q2),P10,"")))))</f>
        <v>2</v>
      </c>
      <c r="S2" t="str">
        <f>IF(AND(COUNTIF(P$5:P$10,P7)&gt;1,P7&lt;&gt;Q2,P7&lt;&gt;R2),P7,IF(AND(COUNTIF(P$5:P$10,P8)&gt;1,P8&lt;&gt;Q2,P8&lt;&gt;R2),P8,IF(AND(COUNTIF(P$5:P$10,P9)&gt;1,P9&lt;&gt;Q2,P9&lt;&gt;R2),P9,IF(AND(COUNTIF(P$5:P$10,P10)&gt;1,P10&lt;&gt;Q2,P10&lt;&gt;R2),P10,""))))</f>
        <v/>
      </c>
    </row>
    <row r="4" spans="1:24" x14ac:dyDescent="0.2">
      <c r="A4" t="s">
        <v>56</v>
      </c>
      <c r="B4" t="s">
        <v>43</v>
      </c>
      <c r="C4" t="s">
        <v>2</v>
      </c>
      <c r="D4" t="s">
        <v>9</v>
      </c>
      <c r="E4" t="s">
        <v>8</v>
      </c>
      <c r="F4" t="s">
        <v>7</v>
      </c>
      <c r="H4" t="s">
        <v>117</v>
      </c>
      <c r="I4" t="s">
        <v>65</v>
      </c>
      <c r="J4" t="s">
        <v>90</v>
      </c>
      <c r="K4" t="s">
        <v>91</v>
      </c>
      <c r="L4" t="s">
        <v>118</v>
      </c>
      <c r="M4" t="s">
        <v>119</v>
      </c>
      <c r="N4" t="s">
        <v>120</v>
      </c>
      <c r="O4" t="s">
        <v>121</v>
      </c>
      <c r="P4" t="s">
        <v>122</v>
      </c>
      <c r="Q4" t="s">
        <v>67</v>
      </c>
      <c r="R4" t="s">
        <v>96</v>
      </c>
      <c r="S4" t="s">
        <v>97</v>
      </c>
      <c r="T4" t="s">
        <v>123</v>
      </c>
      <c r="U4" t="s">
        <v>124</v>
      </c>
      <c r="V4" t="s">
        <v>125</v>
      </c>
      <c r="W4" t="s">
        <v>126</v>
      </c>
    </row>
    <row r="5" spans="1:24" x14ac:dyDescent="0.2">
      <c r="A5">
        <f>IF(SUM(X$5:X$10)=6,1,IF(COUNTIF(X$5:X5,X5)&gt;1,IF(COUNTIF(X$5:X5,X5)&gt;2,X5+2,X5+1),X5))</f>
        <v>1</v>
      </c>
      <c r="B5" t="s">
        <v>48</v>
      </c>
      <c r="C5" t="str">
        <f>VLOOKUP(3,Gruppen!A6:B9,2,FALSE)</f>
        <v>Russland</v>
      </c>
      <c r="D5">
        <f>VLOOKUP(3,Gruppen!A6:K9,11,FALSE)</f>
        <v>4</v>
      </c>
      <c r="E5">
        <f>VLOOKUP(3,Gruppen!A6:K9,10,FALSE)</f>
        <v>0</v>
      </c>
      <c r="F5">
        <f>VLOOKUP(3,Gruppen!A6:K9,7,FALSE)</f>
        <v>3</v>
      </c>
      <c r="H5" s="19">
        <f t="shared" ref="H5:H10" si="0">_xlfn.RANK.EQ(D5,D$5:D$10,0)</f>
        <v>1</v>
      </c>
      <c r="I5" t="str">
        <f t="shared" ref="I5:I10" si="1">IF(H5=I$2,1,IF(H5=J$2,2,IF(H5=K$2,3,"")))</f>
        <v/>
      </c>
      <c r="J5" t="str">
        <f t="shared" ref="J5:J10" si="2">IF(I5=1,E5,"")</f>
        <v/>
      </c>
      <c r="K5" t="str">
        <f t="shared" ref="K5:K10" si="3">IF(I5=2,E5,"")</f>
        <v/>
      </c>
      <c r="L5" t="str">
        <f t="shared" ref="L5:L10" si="4">IF(I5=3,E5,"")</f>
        <v/>
      </c>
      <c r="M5">
        <f t="shared" ref="M5:M10" si="5">IF($I5=1,_xlfn.RANK.EQ(J5,J$5:J$10),0)</f>
        <v>0</v>
      </c>
      <c r="N5">
        <f t="shared" ref="N5:N10" si="6">IF($I5=2,_xlfn.RANK.EQ(K5,K$5:K$10),0)</f>
        <v>0</v>
      </c>
      <c r="O5">
        <f t="shared" ref="O5:O10" si="7">IF($I5=3,_xlfn.RANK.EQ(L5,L$5:L$10),0)</f>
        <v>0</v>
      </c>
      <c r="P5" s="19">
        <f t="shared" ref="P5:P10" si="8">IF(I5&lt;&gt;"",H5+M5+N5+O5-1,H5)</f>
        <v>1</v>
      </c>
      <c r="Q5" t="str">
        <f t="shared" ref="Q5:Q10" si="9">IF(P5=Q$2,1,IF(P5=R$2,2,IF(P5=S$2,3,"")))</f>
        <v/>
      </c>
      <c r="R5" t="str">
        <f t="shared" ref="R5:R10" si="10">IF(Q5=1,F5,"")</f>
        <v/>
      </c>
      <c r="S5" t="str">
        <f t="shared" ref="S5:S10" si="11">IF(Q5=2,F5,"")</f>
        <v/>
      </c>
      <c r="T5" t="str">
        <f t="shared" ref="T5:T10" si="12">IF(Q5=3,F5,"")</f>
        <v/>
      </c>
      <c r="U5">
        <f t="shared" ref="U5:U10" si="13">IF($Q5=1,_xlfn.RANK.EQ(R5,R$5:R$10),0)</f>
        <v>0</v>
      </c>
      <c r="V5">
        <f t="shared" ref="V5:V10" si="14">IF($Q5=2,_xlfn.RANK.EQ(S5,S$5:S$10),0)</f>
        <v>0</v>
      </c>
      <c r="W5">
        <f t="shared" ref="W5:W10" si="15">IF($Q5=3,_xlfn.RANK.EQ(T5,T$5:T$10),0)</f>
        <v>0</v>
      </c>
      <c r="X5" s="19">
        <f t="shared" ref="X5:X10" si="16">IF(Q5&lt;&gt;"",P5+U5+V5+W5-1,P5)</f>
        <v>1</v>
      </c>
    </row>
    <row r="6" spans="1:24" x14ac:dyDescent="0.2">
      <c r="A6">
        <f>IF(SUM(X$5:X$10)=6,2,IF(COUNTIF(X$5:X6,X6)&gt;1,IF(COUNTIF(X$5:X6,X6)&gt;2,X6+2,X6+1),X6))</f>
        <v>5</v>
      </c>
      <c r="B6" t="s">
        <v>49</v>
      </c>
      <c r="C6" t="str">
        <f>VLOOKUP(3,Gruppen!A12:B15,2,FALSE)</f>
        <v>Marokko</v>
      </c>
      <c r="D6">
        <f>VLOOKUP(3,Gruppen!A12:K15,11,FALSE)</f>
        <v>3</v>
      </c>
      <c r="E6">
        <f>VLOOKUP(3,Gruppen!A12:K15,10,FALSE)</f>
        <v>-2</v>
      </c>
      <c r="F6">
        <f>VLOOKUP(3,Gruppen!A12:K15,7,FALSE)</f>
        <v>1</v>
      </c>
      <c r="H6" s="19">
        <f t="shared" si="0"/>
        <v>2</v>
      </c>
      <c r="I6">
        <f t="shared" si="1"/>
        <v>1</v>
      </c>
      <c r="J6">
        <f t="shared" si="2"/>
        <v>-2</v>
      </c>
      <c r="K6" t="str">
        <f t="shared" si="3"/>
        <v/>
      </c>
      <c r="L6" t="str">
        <f t="shared" si="4"/>
        <v/>
      </c>
      <c r="M6">
        <f t="shared" si="5"/>
        <v>3</v>
      </c>
      <c r="N6">
        <f t="shared" si="6"/>
        <v>0</v>
      </c>
      <c r="O6">
        <f t="shared" si="7"/>
        <v>0</v>
      </c>
      <c r="P6" s="19">
        <f t="shared" si="8"/>
        <v>4</v>
      </c>
      <c r="Q6">
        <f t="shared" si="9"/>
        <v>1</v>
      </c>
      <c r="R6">
        <f t="shared" si="10"/>
        <v>1</v>
      </c>
      <c r="S6" t="str">
        <f t="shared" si="11"/>
        <v/>
      </c>
      <c r="T6" t="str">
        <f t="shared" si="12"/>
        <v/>
      </c>
      <c r="U6">
        <f t="shared" si="13"/>
        <v>2</v>
      </c>
      <c r="V6">
        <f t="shared" si="14"/>
        <v>0</v>
      </c>
      <c r="W6">
        <f t="shared" si="15"/>
        <v>0</v>
      </c>
      <c r="X6" s="19">
        <f t="shared" si="16"/>
        <v>5</v>
      </c>
    </row>
    <row r="7" spans="1:24" x14ac:dyDescent="0.2">
      <c r="A7">
        <f>IF(SUM(X$5:X$10)=6,3,IF(COUNTIF(X$5:X7,X7)&gt;1,IF(COUNTIF(X$5:X7,X7)&gt;2,X7+2,X7+1),X7))</f>
        <v>4</v>
      </c>
      <c r="B7" t="s">
        <v>46</v>
      </c>
      <c r="C7" t="str">
        <f>VLOOKUP(3,Gruppen!A18:B21,2,FALSE)</f>
        <v>Peru</v>
      </c>
      <c r="D7">
        <f>VLOOKUP(3,Gruppen!A18:K21,11,FALSE)</f>
        <v>3</v>
      </c>
      <c r="E7">
        <f>VLOOKUP(3,Gruppen!A18:K21,10,FALSE)</f>
        <v>-2</v>
      </c>
      <c r="F7">
        <f>VLOOKUP(3,Gruppen!A18:K21,7,FALSE)</f>
        <v>3</v>
      </c>
      <c r="H7" s="19">
        <f t="shared" si="0"/>
        <v>2</v>
      </c>
      <c r="I7">
        <f t="shared" si="1"/>
        <v>1</v>
      </c>
      <c r="J7">
        <f t="shared" si="2"/>
        <v>-2</v>
      </c>
      <c r="K7" t="str">
        <f t="shared" si="3"/>
        <v/>
      </c>
      <c r="L7" t="str">
        <f t="shared" si="4"/>
        <v/>
      </c>
      <c r="M7">
        <f t="shared" si="5"/>
        <v>3</v>
      </c>
      <c r="N7">
        <f t="shared" si="6"/>
        <v>0</v>
      </c>
      <c r="O7">
        <f t="shared" si="7"/>
        <v>0</v>
      </c>
      <c r="P7" s="19">
        <f t="shared" si="8"/>
        <v>4</v>
      </c>
      <c r="Q7">
        <f t="shared" si="9"/>
        <v>1</v>
      </c>
      <c r="R7">
        <f t="shared" si="10"/>
        <v>3</v>
      </c>
      <c r="S7" t="str">
        <f t="shared" si="11"/>
        <v/>
      </c>
      <c r="T7" t="str">
        <f t="shared" si="12"/>
        <v/>
      </c>
      <c r="U7">
        <f t="shared" si="13"/>
        <v>1</v>
      </c>
      <c r="V7">
        <f t="shared" si="14"/>
        <v>0</v>
      </c>
      <c r="W7">
        <f t="shared" si="15"/>
        <v>0</v>
      </c>
      <c r="X7" s="19">
        <f t="shared" si="16"/>
        <v>4</v>
      </c>
    </row>
    <row r="8" spans="1:24" x14ac:dyDescent="0.2">
      <c r="A8">
        <f>IF(SUM(X$5:X$10)=6,4,IF(COUNTIF(X$5:X8,X8)&gt;1,IF(COUNTIF(X$5:X8,X8)&gt;2,X8+2,X8+1),X8))</f>
        <v>6</v>
      </c>
      <c r="B8" t="s">
        <v>44</v>
      </c>
      <c r="C8" s="26" t="str">
        <f>VLOOKUP(3,Gruppen!A24:B27,2,FALSE)</f>
        <v>Nigeria</v>
      </c>
      <c r="D8">
        <f>VLOOKUP(3,Gruppen!A24:K27,11,FALSE)</f>
        <v>2</v>
      </c>
      <c r="E8">
        <f>VLOOKUP(3,Gruppen!A24:K27,10,FALSE)</f>
        <v>-1</v>
      </c>
      <c r="F8">
        <f>VLOOKUP(3,Gruppen!A24:K27,7,FALSE)</f>
        <v>3</v>
      </c>
      <c r="H8" s="19">
        <f t="shared" si="0"/>
        <v>6</v>
      </c>
      <c r="I8" t="str">
        <f t="shared" si="1"/>
        <v/>
      </c>
      <c r="J8" t="str">
        <f t="shared" si="2"/>
        <v/>
      </c>
      <c r="K8" t="str">
        <f t="shared" si="3"/>
        <v/>
      </c>
      <c r="L8" t="str">
        <f t="shared" si="4"/>
        <v/>
      </c>
      <c r="M8">
        <f t="shared" si="5"/>
        <v>0</v>
      </c>
      <c r="N8">
        <f t="shared" si="6"/>
        <v>0</v>
      </c>
      <c r="O8">
        <f t="shared" si="7"/>
        <v>0</v>
      </c>
      <c r="P8" s="19">
        <f t="shared" si="8"/>
        <v>6</v>
      </c>
      <c r="Q8" t="str">
        <f t="shared" si="9"/>
        <v/>
      </c>
      <c r="R8" t="str">
        <f t="shared" si="10"/>
        <v/>
      </c>
      <c r="S8" t="str">
        <f t="shared" si="11"/>
        <v/>
      </c>
      <c r="T8" t="str">
        <f t="shared" si="12"/>
        <v/>
      </c>
      <c r="U8">
        <f t="shared" si="13"/>
        <v>0</v>
      </c>
      <c r="V8">
        <f t="shared" si="14"/>
        <v>0</v>
      </c>
      <c r="W8">
        <f t="shared" si="15"/>
        <v>0</v>
      </c>
      <c r="X8" s="19">
        <f t="shared" si="16"/>
        <v>6</v>
      </c>
    </row>
    <row r="9" spans="1:24" x14ac:dyDescent="0.2">
      <c r="A9">
        <f>IF(SUM(X$5:X$10)=6,5,IF(COUNTIF(X$5:X9,X9)&gt;1,IF(COUNTIF(X$5:X9,X9)&gt;2,X9+2,X9+1),X9))</f>
        <v>2</v>
      </c>
      <c r="B9" t="s">
        <v>47</v>
      </c>
      <c r="C9" t="str">
        <f>VLOOKUP(3,Gruppen!A30:B33,2,FALSE)</f>
        <v>Costa Rica</v>
      </c>
      <c r="D9">
        <f>VLOOKUP(3,Gruppen!A30:K33,11,FALSE)</f>
        <v>3</v>
      </c>
      <c r="E9">
        <f>VLOOKUP(3,Gruppen!A30:K33,10,FALSE)</f>
        <v>-1</v>
      </c>
      <c r="F9">
        <f>VLOOKUP(3,Gruppen!A30:K33,7,FALSE)</f>
        <v>3</v>
      </c>
      <c r="H9" s="19">
        <f t="shared" si="0"/>
        <v>2</v>
      </c>
      <c r="I9">
        <f t="shared" si="1"/>
        <v>1</v>
      </c>
      <c r="J9">
        <f t="shared" si="2"/>
        <v>-1</v>
      </c>
      <c r="K9" t="str">
        <f t="shared" si="3"/>
        <v/>
      </c>
      <c r="L9" t="str">
        <f t="shared" si="4"/>
        <v/>
      </c>
      <c r="M9">
        <f t="shared" si="5"/>
        <v>1</v>
      </c>
      <c r="N9">
        <f t="shared" si="6"/>
        <v>0</v>
      </c>
      <c r="O9">
        <f t="shared" si="7"/>
        <v>0</v>
      </c>
      <c r="P9" s="19">
        <f t="shared" si="8"/>
        <v>2</v>
      </c>
      <c r="Q9">
        <f t="shared" si="9"/>
        <v>2</v>
      </c>
      <c r="R9" t="str">
        <f t="shared" si="10"/>
        <v/>
      </c>
      <c r="S9">
        <f t="shared" si="11"/>
        <v>3</v>
      </c>
      <c r="T9" t="str">
        <f t="shared" si="12"/>
        <v/>
      </c>
      <c r="U9">
        <f t="shared" si="13"/>
        <v>0</v>
      </c>
      <c r="V9">
        <f t="shared" si="14"/>
        <v>1</v>
      </c>
      <c r="W9">
        <f t="shared" si="15"/>
        <v>0</v>
      </c>
      <c r="X9" s="19">
        <f t="shared" si="16"/>
        <v>2</v>
      </c>
    </row>
    <row r="10" spans="1:24" x14ac:dyDescent="0.2">
      <c r="A10">
        <f>IF(SUM(X$5:X$10)=6,6,IF(COUNTIF(X$5:X10,X10)&gt;1,IF(COUNTIF(X$5:X10,X10)&gt;2,X10+2,X10+1),X10))</f>
        <v>3</v>
      </c>
      <c r="B10" t="s">
        <v>45</v>
      </c>
      <c r="C10" t="str">
        <f>VLOOKUP(3,Gruppen!A36:B39,2,FALSE)</f>
        <v>Mexiko</v>
      </c>
      <c r="D10">
        <f>VLOOKUP(3,Gruppen!A36:K39,11,FALSE)</f>
        <v>3</v>
      </c>
      <c r="E10">
        <f>VLOOKUP(3,Gruppen!A36:K39,10,FALSE)</f>
        <v>-1</v>
      </c>
      <c r="F10">
        <f>VLOOKUP(3,Gruppen!A36:K39,7,FALSE)</f>
        <v>1</v>
      </c>
      <c r="H10" s="19">
        <f t="shared" si="0"/>
        <v>2</v>
      </c>
      <c r="I10">
        <f t="shared" si="1"/>
        <v>1</v>
      </c>
      <c r="J10">
        <f t="shared" si="2"/>
        <v>-1</v>
      </c>
      <c r="K10" t="str">
        <f t="shared" si="3"/>
        <v/>
      </c>
      <c r="L10" t="str">
        <f t="shared" si="4"/>
        <v/>
      </c>
      <c r="M10">
        <f t="shared" si="5"/>
        <v>1</v>
      </c>
      <c r="N10">
        <f t="shared" si="6"/>
        <v>0</v>
      </c>
      <c r="O10">
        <f t="shared" si="7"/>
        <v>0</v>
      </c>
      <c r="P10" s="19">
        <f t="shared" si="8"/>
        <v>2</v>
      </c>
      <c r="Q10">
        <f t="shared" si="9"/>
        <v>2</v>
      </c>
      <c r="R10" t="str">
        <f t="shared" si="10"/>
        <v/>
      </c>
      <c r="S10">
        <f t="shared" si="11"/>
        <v>1</v>
      </c>
      <c r="T10" t="str">
        <f t="shared" si="12"/>
        <v/>
      </c>
      <c r="U10">
        <f t="shared" si="13"/>
        <v>0</v>
      </c>
      <c r="V10">
        <f t="shared" si="14"/>
        <v>2</v>
      </c>
      <c r="W10">
        <f t="shared" si="15"/>
        <v>0</v>
      </c>
      <c r="X10" s="19">
        <f t="shared" si="16"/>
        <v>3</v>
      </c>
    </row>
    <row r="16" spans="1:24" x14ac:dyDescent="0.2">
      <c r="A16" t="s">
        <v>127</v>
      </c>
    </row>
    <row r="17" spans="1:5" ht="13.5" customHeight="1" x14ac:dyDescent="0.2"/>
    <row r="18" spans="1:5" x14ac:dyDescent="0.2">
      <c r="A18" s="27">
        <f t="array" ref="A18">SUM(IF(B$18:B$21 &lt; B18,1))+ (B18="")*1000</f>
        <v>0</v>
      </c>
      <c r="B18" t="str">
        <f>VLOOKUP(1,$A$5:$C$10,2,FALSE)</f>
        <v>A</v>
      </c>
      <c r="C18" t="str">
        <f>VLOOKUP(0,$A$18:$B$21,2,FALSE)</f>
        <v>A</v>
      </c>
      <c r="E18" s="28" t="str">
        <f>CONCATENATE(C18,C19,C20,C21)</f>
        <v>ACEF</v>
      </c>
    </row>
    <row r="19" spans="1:5" x14ac:dyDescent="0.2">
      <c r="A19" s="27">
        <f t="array" ref="A19">SUM(IF(B$18:B$21 &lt; B19,1))+ (B19="")*1000</f>
        <v>2</v>
      </c>
      <c r="B19" t="str">
        <f>VLOOKUP(2,$A$5:$C$10,2,FALSE)</f>
        <v>E</v>
      </c>
      <c r="C19" t="str">
        <f>VLOOKUP(1,$A$18:$B$21,2,FALSE)</f>
        <v>C</v>
      </c>
    </row>
    <row r="20" spans="1:5" x14ac:dyDescent="0.2">
      <c r="A20" s="27">
        <f t="array" ref="A20">SUM(IF(B$18:B$21 &lt; B20,1))+ (B20="")*1000</f>
        <v>3</v>
      </c>
      <c r="B20" t="str">
        <f>VLOOKUP(3,$A$5:$C$10,2,FALSE)</f>
        <v>F</v>
      </c>
      <c r="C20" t="str">
        <f>VLOOKUP(2,$A$18:$B$21,2,FALSE)</f>
        <v>E</v>
      </c>
    </row>
    <row r="21" spans="1:5" x14ac:dyDescent="0.2">
      <c r="A21" s="27">
        <f t="array" ref="A21">SUM(IF(B$18:B$21 &lt; B21,1))+ (B21="")*1000</f>
        <v>1</v>
      </c>
      <c r="B21" t="str">
        <f>VLOOKUP(4,$A$5:$C$10,2,FALSE)</f>
        <v>C</v>
      </c>
      <c r="C21" t="str">
        <f>VLOOKUP(3,$A$18:$B$21,2,FALSE)</f>
        <v>F</v>
      </c>
    </row>
  </sheetData>
  <sheetProtection selectLockedCells="1" selectUnlockedCells="1"/>
  <sortState ref="B18:B21">
    <sortCondition ref="B18:B21"/>
  </sortState>
  <pageMargins left="0.70000000000000007" right="0.70000000000000007" top="0.78740157500000008" bottom="0.78740157500000008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topLeftCell="A11" workbookViewId="0">
      <selection activeCell="F25" sqref="F25"/>
    </sheetView>
  </sheetViews>
  <sheetFormatPr baseColWidth="10" defaultColWidth="11.5" defaultRowHeight="15" x14ac:dyDescent="0.2"/>
  <cols>
    <col min="1" max="1" width="14.33203125" customWidth="1"/>
    <col min="2" max="2" width="11.5" customWidth="1"/>
  </cols>
  <sheetData>
    <row r="2" spans="1:5" x14ac:dyDescent="0.2">
      <c r="A2" t="s">
        <v>128</v>
      </c>
    </row>
    <row r="4" spans="1:5" x14ac:dyDescent="0.2">
      <c r="A4" t="s">
        <v>129</v>
      </c>
      <c r="B4" t="s">
        <v>79</v>
      </c>
      <c r="C4" t="s">
        <v>80</v>
      </c>
      <c r="D4" t="s">
        <v>81</v>
      </c>
      <c r="E4" t="s">
        <v>130</v>
      </c>
    </row>
    <row r="5" spans="1:5" x14ac:dyDescent="0.2">
      <c r="A5" t="s">
        <v>131</v>
      </c>
      <c r="B5" t="str">
        <f>VLOOKUP("B",Dritte!B5:C10,2,FALSE)</f>
        <v>Marokko</v>
      </c>
      <c r="C5" t="str">
        <f>VLOOKUP("D",Dritte!B5:C10,2,FALSE)</f>
        <v>Nigeria</v>
      </c>
      <c r="D5" t="str">
        <f>VLOOKUP("a",Dritte!B5:C10,2,FALSE)</f>
        <v>Russland</v>
      </c>
      <c r="E5" t="str">
        <f>VLOOKUP("c",Dritte!B5:C10,2,FALSE)</f>
        <v>Peru</v>
      </c>
    </row>
    <row r="6" spans="1:5" x14ac:dyDescent="0.2">
      <c r="A6" t="s">
        <v>132</v>
      </c>
      <c r="B6" t="str">
        <f>VLOOKUP("E",Dritte!B5:C10,2,FALSE)</f>
        <v>Costa Rica</v>
      </c>
      <c r="C6" t="str">
        <f>VLOOKUP("a",Dritte!B5:C10,2,FALSE)</f>
        <v>Russland</v>
      </c>
      <c r="D6" t="str">
        <f>VLOOKUP("b",Dritte!B5:C10,2,FALSE)</f>
        <v>Marokko</v>
      </c>
      <c r="E6" t="str">
        <f>VLOOKUP("c",Dritte!B5:C10,2,FALSE)</f>
        <v>Peru</v>
      </c>
    </row>
    <row r="7" spans="1:5" x14ac:dyDescent="0.2">
      <c r="A7" t="s">
        <v>133</v>
      </c>
      <c r="B7" t="str">
        <f>VLOOKUP("F",Dritte!B5:C10,2,FALSE)</f>
        <v>Mexiko</v>
      </c>
      <c r="C7" s="26" t="str">
        <f>VLOOKUP("a",Dritte!B5:C10,2,FALSE)</f>
        <v>Russland</v>
      </c>
      <c r="D7" s="26" t="str">
        <f>VLOOKUP("b",Dritte!B5:C10,2,FALSE)</f>
        <v>Marokko</v>
      </c>
      <c r="E7" t="str">
        <f>VLOOKUP("c",Dritte!B5:C10,2,FALSE)</f>
        <v>Peru</v>
      </c>
    </row>
    <row r="8" spans="1:5" x14ac:dyDescent="0.2">
      <c r="A8" t="s">
        <v>134</v>
      </c>
      <c r="B8" t="str">
        <f>VLOOKUP("E",Dritte!B5:C10,2,FALSE)</f>
        <v>Costa Rica</v>
      </c>
      <c r="C8" t="str">
        <f>VLOOKUP("a",Dritte!B5:C10,2,FALSE)</f>
        <v>Russland</v>
      </c>
      <c r="D8" t="str">
        <f>VLOOKUP("b",Dritte!B5:C10,2,FALSE)</f>
        <v>Marokko</v>
      </c>
      <c r="E8" t="str">
        <f>VLOOKUP("D",Dritte!B5:C10,2,FALSE)</f>
        <v>Nigeria</v>
      </c>
    </row>
    <row r="9" spans="1:5" x14ac:dyDescent="0.2">
      <c r="A9" t="s">
        <v>135</v>
      </c>
      <c r="B9" t="str">
        <f>VLOOKUP("f",Dritte!B5:C10,2,FALSE)</f>
        <v>Mexiko</v>
      </c>
      <c r="C9" t="str">
        <f>VLOOKUP("a",Dritte!B5:C10,2,FALSE)</f>
        <v>Russland</v>
      </c>
      <c r="D9" t="str">
        <f>VLOOKUP("b",Dritte!B5:C10,2,FALSE)</f>
        <v>Marokko</v>
      </c>
      <c r="E9" t="str">
        <f>VLOOKUP("D",Dritte!B5:C10,2,FALSE)</f>
        <v>Nigeria</v>
      </c>
    </row>
    <row r="10" spans="1:5" x14ac:dyDescent="0.2">
      <c r="A10" t="s">
        <v>136</v>
      </c>
      <c r="B10" t="str">
        <f>VLOOKUP("f",Dritte!B5:C10,2,FALSE)</f>
        <v>Mexiko</v>
      </c>
      <c r="C10" t="str">
        <f>VLOOKUP("a",Dritte!B5:C10,2,FALSE)</f>
        <v>Russland</v>
      </c>
      <c r="D10" t="str">
        <f>VLOOKUP("b",Dritte!B5:C10,2,FALSE)</f>
        <v>Marokko</v>
      </c>
      <c r="E10" t="str">
        <f>VLOOKUP("e",Dritte!B5:C10,2,FALSE)</f>
        <v>Costa Rica</v>
      </c>
    </row>
    <row r="11" spans="1:5" x14ac:dyDescent="0.2">
      <c r="A11" t="s">
        <v>137</v>
      </c>
      <c r="B11" t="str">
        <f>VLOOKUP("e",Dritte!B5:C10,2,FALSE)</f>
        <v>Costa Rica</v>
      </c>
      <c r="C11" t="str">
        <f>VLOOKUP("D",Dritte!B5:C10,2,FALSE)</f>
        <v>Nigeria</v>
      </c>
      <c r="D11" t="str">
        <f>VLOOKUP("a",Dritte!B5:C10,2,FALSE)</f>
        <v>Russland</v>
      </c>
      <c r="E11" t="str">
        <f>VLOOKUP("c",Dritte!B5:C10,2,FALSE)</f>
        <v>Peru</v>
      </c>
    </row>
    <row r="12" spans="1:5" x14ac:dyDescent="0.2">
      <c r="A12" t="s">
        <v>138</v>
      </c>
      <c r="B12" t="str">
        <f>VLOOKUP("f",Dritte!B5:C10,2,FALSE)</f>
        <v>Mexiko</v>
      </c>
      <c r="C12" t="str">
        <f>VLOOKUP("D",Dritte!B5:C10,2,FALSE)</f>
        <v>Nigeria</v>
      </c>
      <c r="D12" t="str">
        <f>VLOOKUP("a",Dritte!B5:C10,2,FALSE)</f>
        <v>Russland</v>
      </c>
      <c r="E12" t="str">
        <f>VLOOKUP("c",Dritte!B5:C10,2,FALSE)</f>
        <v>Peru</v>
      </c>
    </row>
    <row r="13" spans="1:5" x14ac:dyDescent="0.2">
      <c r="A13" t="s">
        <v>139</v>
      </c>
      <c r="B13" t="str">
        <f>VLOOKUP("e",Dritte!B5:C10,2,FALSE)</f>
        <v>Costa Rica</v>
      </c>
      <c r="C13" t="str">
        <f>VLOOKUP("a",Dritte!B5:C10,2,FALSE)</f>
        <v>Russland</v>
      </c>
      <c r="D13" t="str">
        <f>VLOOKUP("f",Dritte!B5:C10,2,FALSE)</f>
        <v>Mexiko</v>
      </c>
      <c r="E13" t="str">
        <f>VLOOKUP("c",Dritte!B5:C10,2,FALSE)</f>
        <v>Peru</v>
      </c>
    </row>
    <row r="14" spans="1:5" x14ac:dyDescent="0.2">
      <c r="A14" t="s">
        <v>140</v>
      </c>
      <c r="B14" t="str">
        <f>VLOOKUP("e",Dritte!B5:C10,2,FALSE)</f>
        <v>Costa Rica</v>
      </c>
      <c r="C14" t="str">
        <f>VLOOKUP("a",Dritte!B5:C10,2,FALSE)</f>
        <v>Russland</v>
      </c>
      <c r="D14" t="str">
        <f>VLOOKUP("f",Dritte!B5:C10,2,FALSE)</f>
        <v>Mexiko</v>
      </c>
      <c r="E14" t="str">
        <f>VLOOKUP("D",Dritte!B5:C10,2,FALSE)</f>
        <v>Nigeria</v>
      </c>
    </row>
    <row r="15" spans="1:5" x14ac:dyDescent="0.2">
      <c r="A15" t="s">
        <v>141</v>
      </c>
      <c r="B15" t="str">
        <f>VLOOKUP("e",Dritte!B5:C10,2,FALSE)</f>
        <v>Costa Rica</v>
      </c>
      <c r="C15" t="str">
        <f>VLOOKUP("D",Dritte!B5:C10,2,FALSE)</f>
        <v>Nigeria</v>
      </c>
      <c r="D15" t="str">
        <f>VLOOKUP("b",Dritte!B5:C10,2,FALSE)</f>
        <v>Marokko</v>
      </c>
      <c r="E15" t="str">
        <f>VLOOKUP("c",Dritte!B5:C10,2,FALSE)</f>
        <v>Peru</v>
      </c>
    </row>
    <row r="16" spans="1:5" x14ac:dyDescent="0.2">
      <c r="A16" t="s">
        <v>142</v>
      </c>
      <c r="B16" t="str">
        <f>VLOOKUP("f",Dritte!B5:C10,2,FALSE)</f>
        <v>Mexiko</v>
      </c>
      <c r="C16" t="str">
        <f>VLOOKUP("D",Dritte!B5:C10,2,FALSE)</f>
        <v>Nigeria</v>
      </c>
      <c r="D16" t="str">
        <f>VLOOKUP("b",Dritte!B5:C10,2,FALSE)</f>
        <v>Marokko</v>
      </c>
      <c r="E16" t="str">
        <f>VLOOKUP("c",Dritte!B5:C10,2,FALSE)</f>
        <v>Peru</v>
      </c>
    </row>
    <row r="17" spans="1:5" x14ac:dyDescent="0.2">
      <c r="A17" t="s">
        <v>143</v>
      </c>
      <c r="B17" t="str">
        <f>VLOOKUP("f",Dritte!B5:C10,2,FALSE)</f>
        <v>Mexiko</v>
      </c>
      <c r="C17" t="str">
        <f>VLOOKUP("c",Dritte!B5:C10,2,FALSE)</f>
        <v>Peru</v>
      </c>
      <c r="D17" t="str">
        <f>VLOOKUP("b",Dritte!B5:C10,2,FALSE)</f>
        <v>Marokko</v>
      </c>
      <c r="E17" t="str">
        <f>VLOOKUP("e",Dritte!B5:C10,2,FALSE)</f>
        <v>Costa Rica</v>
      </c>
    </row>
    <row r="18" spans="1:5" x14ac:dyDescent="0.2">
      <c r="A18" t="s">
        <v>144</v>
      </c>
      <c r="B18" t="str">
        <f>VLOOKUP("f",Dritte!B5:C10,2,FALSE)</f>
        <v>Mexiko</v>
      </c>
      <c r="C18" t="str">
        <f>VLOOKUP("D",Dritte!B5:C10,2,FALSE)</f>
        <v>Nigeria</v>
      </c>
      <c r="D18" t="str">
        <f>VLOOKUP("b",Dritte!B5:C10,2,FALSE)</f>
        <v>Marokko</v>
      </c>
      <c r="E18" t="str">
        <f>VLOOKUP("e",Dritte!B5:C10,2,FALSE)</f>
        <v>Costa Rica</v>
      </c>
    </row>
    <row r="19" spans="1:5" x14ac:dyDescent="0.2">
      <c r="A19" t="s">
        <v>145</v>
      </c>
      <c r="B19" t="str">
        <f>VLOOKUP("E",Dritte!B5:C10,2,FALSE)</f>
        <v>Costa Rica</v>
      </c>
      <c r="C19" t="str">
        <f>VLOOKUP("D",Dritte!B5:C10,2,FALSE)</f>
        <v>Nigeria</v>
      </c>
      <c r="D19" t="str">
        <f>VLOOKUP("F",Dritte!B5:C10,2,FALSE)</f>
        <v>Mexiko</v>
      </c>
      <c r="E19" t="str">
        <f>VLOOKUP("C",Dritte!B5:C10,2,FALSE)</f>
        <v>Peru</v>
      </c>
    </row>
  </sheetData>
  <sheetProtection selectLockedCells="1" selectUnlockedCells="1"/>
  <pageMargins left="0.70000000000000007" right="0.70000000000000007" top="0.78740157500000008" bottom="0.78740157500000008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Tabelle</vt:lpstr>
      <vt:lpstr>Gruppen</vt:lpstr>
      <vt:lpstr>Ränge1</vt:lpstr>
      <vt:lpstr>Ränge2</vt:lpstr>
      <vt:lpstr>Dritte</vt:lpstr>
      <vt:lpstr>Dritte2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sabine T</dc:creator>
  <cp:lastModifiedBy>Microsoft Office-Anwender</cp:lastModifiedBy>
  <cp:lastPrinted>2016-02-14T12:01:43Z</cp:lastPrinted>
  <dcterms:created xsi:type="dcterms:W3CDTF">2016-01-12T18:27:30Z</dcterms:created>
  <dcterms:modified xsi:type="dcterms:W3CDTF">2018-06-13T19:46:32Z</dcterms:modified>
</cp:coreProperties>
</file>